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60" windowHeight="1065" activeTab="0"/>
  </bookViews>
  <sheets>
    <sheet name="งบทดลอง" sheetId="1" r:id="rId1"/>
    <sheet name="เงินรับฝาก" sheetId="2" r:id="rId2"/>
    <sheet name="รายรับจ่ายประกอบ" sheetId="3" r:id="rId3"/>
    <sheet name="รายรับจริง" sheetId="4" r:id="rId4"/>
  </sheets>
  <definedNames>
    <definedName name="_xlnm.Print_Area" localSheetId="0">'งบทดลอง'!$A$1:$I$108</definedName>
    <definedName name="_xlnm.Print_Area" localSheetId="1">'เงินรับฝาก'!$A$1:$K$117</definedName>
    <definedName name="_xlnm.Print_Area" localSheetId="3">'รายรับจริง'!$A$1:$M$126</definedName>
    <definedName name="_xlnm.Print_Area" localSheetId="2">'รายรับจ่ายประกอบ'!$A$1:$P$141</definedName>
    <definedName name="Z_B4B706D8_7A00_488D_8A99_A6E58DC90995_.wvu.Cols" localSheetId="3" hidden="1">'รายรับจริง'!#REF!</definedName>
    <definedName name="Z_B4B706D8_7A00_488D_8A99_A6E58DC90995_.wvu.PrintArea" localSheetId="0" hidden="1">'งบทดลอง'!$A$1:$I$108</definedName>
    <definedName name="Z_B4B706D8_7A00_488D_8A99_A6E58DC90995_.wvu.PrintArea" localSheetId="1" hidden="1">'เงินรับฝาก'!$A$1:$O$117</definedName>
    <definedName name="Z_B4B706D8_7A00_488D_8A99_A6E58DC90995_.wvu.PrintArea" localSheetId="2" hidden="1">'รายรับจ่ายประกอบ'!$A$1:$P$46</definedName>
  </definedNames>
  <calcPr fullCalcOnLoad="1"/>
</workbook>
</file>

<file path=xl/sharedStrings.xml><?xml version="1.0" encoding="utf-8"?>
<sst xmlns="http://schemas.openxmlformats.org/spreadsheetml/2006/main" count="455" uniqueCount="320">
  <si>
    <t>รายละเอียด  ประกอบงบทดลองและรายงานรับ - จ่ายเงินสด</t>
  </si>
  <si>
    <t>ยอดยกมา</t>
  </si>
  <si>
    <t>รับ</t>
  </si>
  <si>
    <t>จ่าย</t>
  </si>
  <si>
    <t>คงเหลือ</t>
  </si>
  <si>
    <t>ภาษีหัก ณ  ที่จ่าย</t>
  </si>
  <si>
    <t>เงินประกันสัญญา</t>
  </si>
  <si>
    <t>ค่าใช้จ่ายภาษีบำรุงท้องที่  5%</t>
  </si>
  <si>
    <t>ส่วนลดภาษีบำรุงท้องที่  6%</t>
  </si>
  <si>
    <t>รวม</t>
  </si>
  <si>
    <t>จำนวนเงิน</t>
  </si>
  <si>
    <t>หัวหน้าส่วนการคลัง</t>
  </si>
  <si>
    <t>ปลัดองค์การบริหารส่วนตำบล</t>
  </si>
  <si>
    <t>งบกระทบยอดเงินฝากธนาคาร</t>
  </si>
  <si>
    <t>บาท</t>
  </si>
  <si>
    <t>บวก  :   ฝากระหว่างทาง</t>
  </si>
  <si>
    <t>วันที่ลงบัญชี</t>
  </si>
  <si>
    <t>วันที่ฝากธนาคาร</t>
  </si>
  <si>
    <t>………………………..</t>
  </si>
  <si>
    <t>หัก :  เช็คจ่ายที่ผู้รับยังไม่นำมาขึ้นเงินกับธนาคาร</t>
  </si>
  <si>
    <t>วันที่</t>
  </si>
  <si>
    <t>เลขที่เช็ค</t>
  </si>
  <si>
    <t>บวก  :  หรือ  ( หัก )  รายการกระทบยอดอื่น ๆ</t>
  </si>
  <si>
    <t>รายละเอียด</t>
  </si>
  <si>
    <t>ผู้จัดทำ</t>
  </si>
  <si>
    <t>ผู้ตรวจสอบ</t>
  </si>
  <si>
    <t>รายการ</t>
  </si>
  <si>
    <t>รหัสบัญชี</t>
  </si>
  <si>
    <t>งบทดลอง</t>
  </si>
  <si>
    <t>เดบิท</t>
  </si>
  <si>
    <t>เครดิต</t>
  </si>
  <si>
    <t>เงินสด</t>
  </si>
  <si>
    <t>010</t>
  </si>
  <si>
    <t>022</t>
  </si>
  <si>
    <t>ลูกหนี้เงินยืมเงินงบประมาณ</t>
  </si>
  <si>
    <t>090</t>
  </si>
  <si>
    <t>ลูกหนี้เงินยืมเงินสะสม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</si>
  <si>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</si>
  <si>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</si>
  <si>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</si>
  <si>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</si>
  <si>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</si>
  <si>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</si>
  <si>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</si>
  <si>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 xml:space="preserve">เงินอุดหนุน   </t>
  </si>
  <si>
    <t>ค่าครุภัณฑ์</t>
  </si>
  <si>
    <t>ค่าที่ดินและสิ่งก่อสร้าง</t>
  </si>
  <si>
    <t>เงินงบกลาง</t>
  </si>
  <si>
    <t>เงินสะสม</t>
  </si>
  <si>
    <t>สำรองเงินรายรับ</t>
  </si>
  <si>
    <t>เงินรับฝาก (หมายเหตุ 2)</t>
  </si>
  <si>
    <t>เงินทุนสำรองเงินสะสม</t>
  </si>
  <si>
    <t>รายรับจริงประกอบงบทดลองและรายงานรับ - จ่ายเงินสด</t>
  </si>
  <si>
    <t>ประมาณการ</t>
  </si>
  <si>
    <t>รายรับจริง</t>
  </si>
  <si>
    <t>รายได้จัดเก็บเอง</t>
  </si>
  <si>
    <t>หมวดภาษีอากร</t>
  </si>
  <si>
    <t>0100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</si>
  <si>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</si>
  <si>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</si>
  <si>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</si>
  <si>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</si>
  <si>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</si>
  <si>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</si>
  <si>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</si>
  <si>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</si>
  <si>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(5)  ภาษีบำรุง อบจ. จากสถานค้าปลีกยาสูบ</t>
  </si>
  <si>
    <t>0105</t>
  </si>
  <si>
    <t>(6)  ภาษีบำรุง  อบจ.จากสถานค้าปลีกน้ำมัน</t>
  </si>
  <si>
    <t>0106</t>
  </si>
  <si>
    <t xml:space="preserve">           รวม</t>
  </si>
  <si>
    <t>หมวดค่าธรรมเนียม  ค่าปรับและใบอนุญาต</t>
  </si>
  <si>
    <t>0120</t>
  </si>
  <si>
    <t>(1)   ค่าธรรมเนียมเกี่ยวกับควบคุมการฆ่าสัตว์และจำหน่ายเนื้อสัตว์</t>
  </si>
  <si>
    <t>0121</t>
  </si>
  <si>
    <t>(2)   ค่าธรรมเนียมเกี่ยวกับใบอนุญาตการขายสุรา</t>
  </si>
  <si>
    <t>0122</t>
  </si>
  <si>
    <t>(3)   ค่าธรรมเนียมเกี่ยวกับใบอนุญาตการพนัน</t>
  </si>
  <si>
    <t>0123</t>
  </si>
  <si>
    <t>(4)   ค่าธรรมเนียมเกี่ยวกับการจัดระเบียบจอดยานยนต์</t>
  </si>
  <si>
    <t>0124</t>
  </si>
  <si>
    <t>(5)   ค่าธรรมเนียมเกี่ยวกับการควบคุมอาคาร</t>
  </si>
  <si>
    <t>0125</t>
  </si>
  <si>
    <t>(6)  ค่าธรรมเนียมเก็บและขนมูลฝอย</t>
  </si>
  <si>
    <t>0126</t>
  </si>
  <si>
    <t>(7)   ค่าธรรมเนียมเก็บและขนอุจจาระหรือสิ่งปฏิกูล</t>
  </si>
  <si>
    <t>0127</t>
  </si>
  <si>
    <t>(8)   ค่าธรรมเนียมในการออกหนังสือรับรองการแจ้งการจัดตั้ง</t>
  </si>
  <si>
    <t>0128</t>
  </si>
  <si>
    <t xml:space="preserve">        สถานที่จำหน่ายอาหารหรือสถานที่สะสมอาหารในอาคารหรือ</t>
  </si>
  <si>
    <t xml:space="preserve">         พื้นที่ใด ซึ่งมีพื้นที่ไม่เกิน  200  ตารางเมตร</t>
  </si>
  <si>
    <t>(9)   ค่าธรรมเนียมเกี่ยวกับสุสานและฌาปนสถาน</t>
  </si>
  <si>
    <t>0129</t>
  </si>
  <si>
    <t>(10) ค่าธรรมเนียมปิดแผ่นป้ายประกาศ  หรือเขียนข้อความ หรือ</t>
  </si>
  <si>
    <t>0130</t>
  </si>
  <si>
    <t xml:space="preserve">        ภาพ  ติดตั้ง  เขียนป้าย หรือเอกสาร  หรือทิ้ง  หรือโปรยแผ่น</t>
  </si>
  <si>
    <t xml:space="preserve">         ประกาศเพื่อโฆษณาแก่ประชาชน</t>
  </si>
  <si>
    <t>(11)  ค่าธรรมเนียมเกี่ยวกับการทะเบียนราษฎร</t>
  </si>
  <si>
    <t>(12)  ค่าธรรมเนียมเกี่ยวกับบัตรประจำตัวประชาชน</t>
  </si>
  <si>
    <t>0132</t>
  </si>
  <si>
    <t>(13)  ค่าธรรมเนียมเกี่ยวกับโรคพิษสุนัขบ้า</t>
  </si>
  <si>
    <t>0133</t>
  </si>
  <si>
    <t>(14)  ค่าธรรมเนียมเกี่ยวกับการส่งเสริมและรักษาคุณภาพสิ่งแวดล้อม</t>
  </si>
  <si>
    <t>0134</t>
  </si>
  <si>
    <t xml:space="preserve">          แห่งชาติ</t>
  </si>
  <si>
    <t>(15)  ค่าธรรมเนียมบำรุง  อบจ.  จากผู้เข้าพักในโรงแรม</t>
  </si>
  <si>
    <t>0135</t>
  </si>
  <si>
    <t>(16)  ค่าปรับผู้กระทำผิดกฎหมายการจัดระเบียบจอดยานยนต์</t>
  </si>
  <si>
    <t>0136</t>
  </si>
  <si>
    <t>(17)  ค่าปรับผู้กระทำผิดกฎหมายจราจรทางบก</t>
  </si>
  <si>
    <t>0137</t>
  </si>
  <si>
    <t>(18)  ค่าปรับผู้กระทำผิดกฏหมายการป้องกันและระงับอัคคีภัย</t>
  </si>
  <si>
    <t>0138</t>
  </si>
  <si>
    <t>(19)  ค่าปรับผู้กระทำผิดกฎหมายและข้อบังคับท้องถิ่น</t>
  </si>
  <si>
    <t>0139</t>
  </si>
  <si>
    <t>(20)  ค่าปรับการผิดสัญญา</t>
  </si>
  <si>
    <t>0140</t>
  </si>
  <si>
    <t>(21)  ค่าปรับอื่น ๆ</t>
  </si>
  <si>
    <t>0141</t>
  </si>
  <si>
    <t>(22)  ค่าใบอนุญาตรับทำการเก็บ  ขน  หรือกำจัด  สิ่งปฏิกูลหรือ</t>
  </si>
  <si>
    <t>0142</t>
  </si>
  <si>
    <t xml:space="preserve">          มูลฝอย  และประกอบกิจการโรงสี</t>
  </si>
  <si>
    <t>(23)  ค่าใบอนุญาตจัดตั้งตลาด</t>
  </si>
  <si>
    <t>0143</t>
  </si>
  <si>
    <t>(24)  ค่าใบอนุญาตจัดตั้งสถานที่จำหน่ายอาหารหรือสถานที่สะสม</t>
  </si>
  <si>
    <t>0144</t>
  </si>
  <si>
    <t xml:space="preserve">         อาหารในอาคาร  หรือพื้นที่ใด  ซึ่งมีพื้นที่  200  ตารางเมตร</t>
  </si>
  <si>
    <t>(25)  ค่าใบอนุญาตจำหน่ายสินค้าในที่หรือทางสาธารณะ</t>
  </si>
  <si>
    <t>0145</t>
  </si>
  <si>
    <t>0146</t>
  </si>
  <si>
    <t>(27)  ค่าใบอนุญาตเกี่ยวกับการโฆษณาโดยใช้เครื่องขยายเสียง</t>
  </si>
  <si>
    <t>0147</t>
  </si>
  <si>
    <t>0148</t>
  </si>
  <si>
    <t>หมวดรายได้จากทรัพย์สิน</t>
  </si>
  <si>
    <t>0200</t>
  </si>
  <si>
    <t>(1)  ค่าเช่าที่ดิน</t>
  </si>
  <si>
    <t>0201</t>
  </si>
  <si>
    <t>(2)  ค่าเช่าหรือค่าบริการสถานที่</t>
  </si>
  <si>
    <t>0202</t>
  </si>
  <si>
    <t>(3)  ดอกเบี้ย</t>
  </si>
  <si>
    <t>0203</t>
  </si>
  <si>
    <t>(4)  เงินปันผลหรือเงินรางวัลต่าง ๆ</t>
  </si>
  <si>
    <t>0204</t>
  </si>
  <si>
    <t>(5)  ค่าตอบแทนตามที่กฎหมายกำหนด</t>
  </si>
  <si>
    <t>0205</t>
  </si>
  <si>
    <t>หมวดรายได้จากสาธารณูปโภคและการพาณิชย์</t>
  </si>
  <si>
    <t>0250</t>
  </si>
  <si>
    <t>(1)  เงินช่วยเหลือท้องถิ่นจากกิจการเฉพาะการ</t>
  </si>
  <si>
    <t>0251</t>
  </si>
  <si>
    <t>(2)  เงินสะสมจากการโอนกิจการสาธารณูปโภคหรือการพาณิชย์</t>
  </si>
  <si>
    <t>0252</t>
  </si>
  <si>
    <t>(3)  รายได้จากสาธารณูปโภคและการพาณิชย์</t>
  </si>
  <si>
    <t>0253</t>
  </si>
  <si>
    <t xml:space="preserve">       (ไม่แยกเป็นงบเฉพาะการ)</t>
  </si>
  <si>
    <t>หมวดรายได้เบ็ดเตล็ด</t>
  </si>
  <si>
    <t>0300</t>
  </si>
  <si>
    <t>(1)  เงินที่มีผู้อุทิศให้</t>
  </si>
  <si>
    <t>0301</t>
  </si>
  <si>
    <t>(2)  ค่าขายแบบแปลน</t>
  </si>
  <si>
    <t>0302</t>
  </si>
  <si>
    <t>0303</t>
  </si>
  <si>
    <t>(4)  ค่าจำหน่ายแบบพิมพ์และคำร้อง</t>
  </si>
  <si>
    <t>0304</t>
  </si>
  <si>
    <t>(5)  ค่ารับรองสำเนาและถ่ายเอกสาร</t>
  </si>
  <si>
    <t>0305</t>
  </si>
  <si>
    <t>(6)  ค่าสมัครสมาชิกห้องสมุด</t>
  </si>
  <si>
    <t>0306</t>
  </si>
  <si>
    <t>(7)  รายได้เบ็ดเตล็ดอื่น ๆ</t>
  </si>
  <si>
    <t>0307</t>
  </si>
  <si>
    <t>-</t>
  </si>
  <si>
    <t>หมวดรายได้จากทุน</t>
  </si>
  <si>
    <t>0350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</si>
  <si>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</si>
  <si>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</si>
  <si>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</t>
  </si>
  <si>
    <t>ส่วนท้องถิ่น หมวดภาษีจัดสรร</t>
  </si>
  <si>
    <t>(1)  ภาษีและค่าธรรมเนียมรถยนต์หรือล้อเลื่อน</t>
  </si>
  <si>
    <t>(2)  ภาษีมูลค่าเพิ่ม</t>
  </si>
  <si>
    <t>(3)  ภาษีบำรุง  อบจ.จากภาษีมูลค่าเพิ่มที่จัดเก็บตาม</t>
  </si>
  <si>
    <t xml:space="preserve">       ประมวลรัษฎากร  5  %</t>
  </si>
  <si>
    <t>(4)  ภาษีธุรกิจเฉพาะ</t>
  </si>
  <si>
    <t>(5)  ภาษีสุรา</t>
  </si>
  <si>
    <t>(6)  ภาษีสรรพสามิต</t>
  </si>
  <si>
    <t>(7)  ภาษีการพนัน</t>
  </si>
  <si>
    <t>(8)  ภาษีแสตมป์ยาสูบ</t>
  </si>
  <si>
    <t>(9)  ค่าภาคหลวงและค่าธรรมเนียมป่าไม้</t>
  </si>
  <si>
    <t>(10)  ค่าภาคหลวงแร่</t>
  </si>
  <si>
    <t>(11)  ค่าภาคหลวงปิโตรเลียม</t>
  </si>
  <si>
    <t>(12)  เงินที่เก็บตามกฎหมายว่าด้วยอุทยานแห่งชาติ</t>
  </si>
  <si>
    <t>(13)  ค่าธรรมเนียมจดทะเบียนสิทธิและนิติกรรมที่ดิน</t>
  </si>
  <si>
    <t>(14)  อากรประทานบัตรและอาชญาบัตรประมง</t>
  </si>
  <si>
    <t>(15)  อากรรังนกอีแอ่น</t>
  </si>
  <si>
    <t>(16)  ค่าธรรมเนียมน้ำบาดาลและใช้น้ำบาดาล</t>
  </si>
  <si>
    <t>(17)  ค่าธรรมเนียมสนามบิน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</si>
  <si>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</si>
  <si>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</si>
  <si>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 เงินอุดหนุนเพื่อการบูรณะท้องถิ่นและกิจการอื่นทั่วไป</t>
  </si>
  <si>
    <t xml:space="preserve">       (หรือเงินอุดหนุนทั่วไป)</t>
  </si>
  <si>
    <t>(2)  เงินอุดหนุนทั่วไป  (อบต.)</t>
  </si>
  <si>
    <t>(3)  เงินอุดหนุนกรณีต่าง ๆ  ที่ต้องนำมาตั้งงบประมาณ</t>
  </si>
  <si>
    <t>(4) เงินอุดหนุนเฉพาะกิจ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</si>
  <si>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</si>
  <si>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</si>
  <si>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(1)  เงินอุดหนุนเฉพาะกิจด้านการศึกษา</t>
  </si>
  <si>
    <t>(2)  เงินอุดหนุนเฉพาะกิจจากกรมส่งเสริมการปกครองท้องถิ่น</t>
  </si>
  <si>
    <t>(1)  เงินจ่ายขาดเงินสะสม</t>
  </si>
  <si>
    <t>(2)  เงินสำรองรายรับ</t>
  </si>
  <si>
    <t>รวมสุทธิ</t>
  </si>
  <si>
    <t>รายงาน  รับ - จ่าย  เงินสด</t>
  </si>
  <si>
    <t>จนถึงปีปัจจุบัน</t>
  </si>
  <si>
    <t>เดือนนี้</t>
  </si>
  <si>
    <t>เกิดขึ้นจริง</t>
  </si>
  <si>
    <t>(บาท)</t>
  </si>
  <si>
    <t xml:space="preserve">   ภาษีอากร</t>
  </si>
  <si>
    <t xml:space="preserve">   ค่าธรรมเนียม ค่าปรับและใบอนุญาต</t>
  </si>
  <si>
    <t xml:space="preserve">   รายได้จากทรัพย์สิน</t>
  </si>
  <si>
    <t xml:space="preserve">   รายได้จากสาธารณูปโภคและการพาณิชย์</t>
  </si>
  <si>
    <t xml:space="preserve">   รายได้เบ็ดเตล็ด</t>
  </si>
  <si>
    <t xml:space="preserve">   รายได้จากทุน</t>
  </si>
  <si>
    <t xml:space="preserve">   ภาษีจัดสรร</t>
  </si>
  <si>
    <t>เงินอุดหนุน</t>
  </si>
  <si>
    <t>เงินสำรองรายรับ</t>
  </si>
  <si>
    <t>รวมรายรับ</t>
  </si>
  <si>
    <t>รายจ่าย</t>
  </si>
  <si>
    <t>งบกลาง</t>
  </si>
  <si>
    <t>รายจ่ายอื่น ๆ</t>
  </si>
  <si>
    <t>รายจ่ายค้างจ่าย (หมายเหตุ 3)</t>
  </si>
  <si>
    <t>รวมรายจ่าย</t>
  </si>
  <si>
    <t xml:space="preserve">                      สูงกว่า</t>
  </si>
  <si>
    <t>รายรับ                               รายจ่าย</t>
  </si>
  <si>
    <t xml:space="preserve">                     (ต่ำกว่า)</t>
  </si>
  <si>
    <t xml:space="preserve">                     ยอดยกไป</t>
  </si>
  <si>
    <t>ค่าขายแบบแปลน</t>
  </si>
  <si>
    <r>
      <t>รายรับ</t>
    </r>
    <r>
      <rPr>
        <sz val="16"/>
        <rFont val="AngsanaUPC"/>
        <family val="1"/>
      </rPr>
      <t xml:space="preserve"> (หมายเหตุ 1)</t>
    </r>
  </si>
  <si>
    <t>รวมรายจ่ายค้างจ่ายทั้งสิ้น</t>
  </si>
  <si>
    <t xml:space="preserve">เงินทุนโครงการเศรษฐกิจชุมชน </t>
  </si>
  <si>
    <t>ที่ดิน</t>
  </si>
  <si>
    <t>รายจ่ายอื่น</t>
  </si>
  <si>
    <t>หมวดที่จ่าย  (เงินเบิกตัดปี)</t>
  </si>
  <si>
    <r>
      <t>เงินรับฝาก</t>
    </r>
    <r>
      <rPr>
        <sz val="16"/>
        <rFont val="AngsanaUPC"/>
        <family val="1"/>
      </rPr>
      <t xml:space="preserve">  (หมายเหตุ 2)</t>
    </r>
  </si>
  <si>
    <t xml:space="preserve"> </t>
  </si>
  <si>
    <t>(นางสาวจารุณี  บุญประสม)</t>
  </si>
  <si>
    <t>(นางสาวดวงใจ  ชมพุทธ์)</t>
  </si>
  <si>
    <t>รับรองถูกต้อง</t>
  </si>
  <si>
    <t>ตรวจสอบถูกต้อง</t>
  </si>
  <si>
    <t>องค์การบริหารส่วนตำบลเมืองโดน</t>
  </si>
  <si>
    <t>เงินฝากธนาคาร - ออมทรัพย์  (35007 -9)</t>
  </si>
  <si>
    <t>เงินฝากธนาคาร - ออมทรัพย์  (56214-1)</t>
  </si>
  <si>
    <t>เงินฝากธนาคาร - กระแสรายวัน (00450 - 4)</t>
  </si>
  <si>
    <t>5000</t>
  </si>
  <si>
    <t>เงินรายรับ</t>
  </si>
  <si>
    <t>เงินมัดจำประกันสัญญา</t>
  </si>
  <si>
    <t>โครงการถ่ายโอนกิจกรรมสาธารณะฯ</t>
  </si>
  <si>
    <t>เงินทุนโครงการเศรษฐกิจชุมชน</t>
  </si>
  <si>
    <t>เงินค่าใช้จ่าย  5%</t>
  </si>
  <si>
    <t>เงินส่วนลด 6%</t>
  </si>
  <si>
    <t xml:space="preserve">เงินรับฝาก </t>
  </si>
  <si>
    <t>อำเภอประทาย  จังหวัดนครราชสีมา</t>
  </si>
  <si>
    <t xml:space="preserve">            เลขที่บัญชี   368-2-35007-9</t>
  </si>
  <si>
    <t>ธนาคารเพื่อการเกษตรและสหกรณ์การเกษตร</t>
  </si>
  <si>
    <t>ธนาคาร กรุงไทย  จำกัด (มหาชน)</t>
  </si>
  <si>
    <t xml:space="preserve">        ตำแหน่ง  เจ้าพนักงานการเงินและบัญชี</t>
  </si>
  <si>
    <t>เงินฝากธนาคาร - ออมทรัพย์   (13082-6)</t>
  </si>
  <si>
    <t>รายจ่ายรอจ่าย</t>
  </si>
  <si>
    <t>รวมรายจ่ายรอจ่ายทั้งสิ้น</t>
  </si>
  <si>
    <t>รายจ่ายรอจ่าย  (หมายเหตุ 3)</t>
  </si>
  <si>
    <t>เงินฝากประจำ  12  เดือน   (000618-9)</t>
  </si>
  <si>
    <r>
      <t>รายจ่ายค้างจ่าย</t>
    </r>
    <r>
      <rPr>
        <b/>
        <sz val="16"/>
        <rFont val="AngsanaUPC"/>
        <family val="1"/>
      </rPr>
      <t xml:space="preserve">  (หมายเหตุ 3)</t>
    </r>
  </si>
  <si>
    <t xml:space="preserve">            เลขที่บัญชี   340-0-13082-6</t>
  </si>
  <si>
    <t>ตำแหน่ง  หัวหน้าส่วนการคลัง</t>
  </si>
  <si>
    <t>เงินอุดหนุนเบี้ยยังชีพผู้สูงอายุ</t>
  </si>
  <si>
    <t xml:space="preserve">เงินอุดหนุน ค่าเบี้ยยังชีพผู้สูงอายุ  </t>
  </si>
  <si>
    <t>เงินภาษีหัก  ณ  ที่จ่าย</t>
  </si>
  <si>
    <t>ตอบแทน</t>
  </si>
  <si>
    <t>ใช้สอย</t>
  </si>
  <si>
    <t>วัสดุ</t>
  </si>
  <si>
    <t>ปลัด</t>
  </si>
  <si>
    <t>คลัง</t>
  </si>
  <si>
    <t>ศึกษา</t>
  </si>
  <si>
    <t>ช่าง</t>
  </si>
  <si>
    <t>ครุภัณฑ์</t>
  </si>
  <si>
    <t>เงินทุนโครงการเศรษฐกิจชุมชนบัญชี  2</t>
  </si>
  <si>
    <t>(26)  ค่าใบอนุญาตเกี่ยวกับการควบคุมอาคาร</t>
  </si>
  <si>
    <t>(28)  ค่าใบอนุญาตประกอบที่เป็นอันตรายต่อสุขภาพ</t>
  </si>
  <si>
    <t>(29)  ค่าใบอนุญาตอื่น ๆ</t>
  </si>
  <si>
    <t>0149</t>
  </si>
  <si>
    <t>(3)  ค่าขายเอกสารสอบราคา</t>
  </si>
  <si>
    <t>เงินอุดหนุนศูนย์พัฒนาครอบครัว</t>
  </si>
  <si>
    <t>เงินอุดหนุนเฉพาะกิจค่าเบี้ยยังชีพผู้พิการ</t>
  </si>
  <si>
    <t>เงินรับฝาก (ค่ายแบบแปลน)</t>
  </si>
  <si>
    <t>(นายบุญสวน  คำดี)</t>
  </si>
  <si>
    <t>นายกองค์การบริหารส่วนตำบลเมืองโดน</t>
  </si>
  <si>
    <t>เงินอุดหนุน ค่าเบี้ยยังชีพผู้พิการ</t>
  </si>
  <si>
    <t>เงินทุนโครงการเศรษฐกิจชุมชน (บัญชี  2)</t>
  </si>
  <si>
    <t>บัญชีรายจ่ายค้างจ่าย</t>
  </si>
  <si>
    <t>เงินอุดหนุนทั่วไปค้างจ่าย  (ก่อสร้างรั้วสาธารณะสวนหนองคู)</t>
  </si>
  <si>
    <t xml:space="preserve">                      ปีงบประมาณ  2554</t>
  </si>
  <si>
    <t xml:space="preserve">เงินอุดหนุนเฉพาะกิจค้างจ่าย </t>
  </si>
  <si>
    <t>เงินอุดหนุนเฉพาะกิจ(เงินเดือนครูศูนย์เด็กเล็กฯ)</t>
  </si>
  <si>
    <t>รับคืน  (ค่าเบี้ยยังชีพผู้สูงอายุ)</t>
  </si>
  <si>
    <t>เงินอุดหนุนเงินเดือนครูศูนย์พัฒนาเด็กเล็ก</t>
  </si>
  <si>
    <t>บัญชีเงินขาดบัญชี</t>
  </si>
  <si>
    <t xml:space="preserve">เงินสะสม </t>
  </si>
  <si>
    <t xml:space="preserve"> 25  เมษายน  2554</t>
  </si>
  <si>
    <t>เงินอุดหนุนเฉพาะกิจ(ค่าเบี้ยยังชีพผู้สูงอายุ)</t>
  </si>
  <si>
    <t>เงินอุดหนุนเฉพาะกิจ(ค่าเบี้ยยังชีพผู้พิการ)</t>
  </si>
  <si>
    <t>เดือนกรกฎาคม  2554</t>
  </si>
  <si>
    <t>ยอดคงเหลือตามรายงานธนาคาร ณ วันที่  31  กรกฎาคม   2554</t>
  </si>
  <si>
    <t xml:space="preserve"> 25  กรกฎาคม  2554</t>
  </si>
  <si>
    <t>ยอดคงเหลือตามบัญชี ณ วันที่  31  กรกฎาคม  2554</t>
  </si>
  <si>
    <t>ลงชื่อ…………………………วันที่   31  กรกฎาคม  2554</t>
  </si>
  <si>
    <t>ลงชื่อ…………………………วันที่  31  กรกฎาคม  2554</t>
  </si>
  <si>
    <t>ประจำเดือนกรกฎาคม   2554</t>
  </si>
  <si>
    <t>วันที่   1 กรกฎาคม   2554</t>
  </si>
  <si>
    <t xml:space="preserve"> -</t>
  </si>
  <si>
    <t>(2,024,866</t>
  </si>
  <si>
    <t>47)</t>
  </si>
  <si>
    <t>วันที่  31  กรกฎาคม   2554</t>
  </si>
  <si>
    <t>ณ. วันที่   31  กรกฎาคม   2554</t>
  </si>
  <si>
    <t>ยอดคงเหลือตามบัญชี ณ วันที่  31 กรกฎาคม  2554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</si>
</sst>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_-* #,##0_-;\-* #,##0_-;_-* &quot;-&quot;??_-;_-@_-"/>
    <numFmt numFmtId="189" formatCode="00"/>
    <numFmt numFmtId="190" formatCode="#,##0_ ;\-#,##0\ "/>
    <numFmt numFmtId="191" formatCode="\(000,000"/>
    <numFmt numFmtId="192" formatCode="00\)"/>
    <numFmt numFmtId="193" formatCode="#,##0.0"/>
    <numFmt numFmtId="194" formatCode="0000000"/>
    <numFmt numFmtId="195" formatCode="_-* #,##0.0_-;\-* #,##0.0_-;_-* &quot;-&quot;??_-;_-@_-"/>
    <numFmt numFmtId="196" formatCode="\(#,00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0.000"/>
    <numFmt numFmtId="202" formatCode="0.00000000"/>
    <numFmt numFmtId="203" formatCode="0.0000000"/>
    <numFmt numFmtId="204" formatCode="0.000000"/>
    <numFmt numFmtId="205" formatCode="0.00000"/>
    <numFmt numFmtId="206" formatCode="0.0000"/>
  </numFmts>
  <fonts count="19">
    <font>
      <sz val="10"/>
      <name val="Arial"/>
      <family val="0"/>
    </font>
    <font>
      <b/>
      <sz val="16"/>
      <name val="Cordia New"/>
      <family val="2"/>
    </font>
    <font>
      <b/>
      <sz val="18"/>
      <name val="AngsanaUPC"/>
      <family val="1"/>
    </font>
    <font>
      <sz val="1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u val="single"/>
      <sz val="16"/>
      <name val="AngsanaUPC"/>
      <family val="1"/>
    </font>
    <font>
      <sz val="16"/>
      <name val="Angsana New"/>
      <family val="1"/>
    </font>
    <font>
      <sz val="18"/>
      <name val="AngsanaUPC"/>
      <family val="1"/>
    </font>
    <font>
      <sz val="16"/>
      <name val="Arial"/>
      <family val="0"/>
    </font>
    <font>
      <sz val="16"/>
      <name val="BrowalliaUPC"/>
      <family val="2"/>
    </font>
    <font>
      <b/>
      <u val="single"/>
      <sz val="16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ngsanaUPC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3" xfId="17" applyNumberFormat="1" applyFont="1" applyBorder="1" applyAlignment="1">
      <alignment/>
    </xf>
    <xf numFmtId="188" fontId="4" fillId="0" borderId="4" xfId="17" applyNumberFormat="1" applyFont="1" applyBorder="1" applyAlignment="1">
      <alignment horizontal="right"/>
    </xf>
    <xf numFmtId="189" fontId="4" fillId="0" borderId="4" xfId="17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7" applyFont="1" applyBorder="1" applyAlignment="1">
      <alignment/>
    </xf>
    <xf numFmtId="3" fontId="4" fillId="0" borderId="4" xfId="17" applyNumberFormat="1" applyFont="1" applyBorder="1" applyAlignment="1">
      <alignment/>
    </xf>
    <xf numFmtId="0" fontId="4" fillId="0" borderId="4" xfId="0" applyFont="1" applyBorder="1" applyAlignment="1">
      <alignment/>
    </xf>
    <xf numFmtId="190" fontId="4" fillId="0" borderId="4" xfId="17" applyNumberFormat="1" applyFont="1" applyBorder="1" applyAlignment="1">
      <alignment/>
    </xf>
    <xf numFmtId="189" fontId="4" fillId="0" borderId="4" xfId="17" applyNumberFormat="1" applyFont="1" applyBorder="1" applyAlignment="1" quotePrefix="1">
      <alignment horizontal="center"/>
    </xf>
    <xf numFmtId="3" fontId="4" fillId="0" borderId="0" xfId="17" applyNumberFormat="1" applyFont="1" applyBorder="1" applyAlignment="1">
      <alignment/>
    </xf>
    <xf numFmtId="0" fontId="6" fillId="0" borderId="4" xfId="0" applyFont="1" applyBorder="1" applyAlignment="1">
      <alignment/>
    </xf>
    <xf numFmtId="43" fontId="4" fillId="0" borderId="4" xfId="17" applyFont="1" applyBorder="1" applyAlignment="1">
      <alignment/>
    </xf>
    <xf numFmtId="189" fontId="4" fillId="0" borderId="4" xfId="17" applyNumberFormat="1" applyFont="1" applyBorder="1" applyAlignment="1">
      <alignment/>
    </xf>
    <xf numFmtId="190" fontId="4" fillId="0" borderId="4" xfId="17" applyNumberFormat="1" applyFont="1" applyBorder="1" applyAlignment="1" quotePrefix="1">
      <alignment horizontal="center"/>
    </xf>
    <xf numFmtId="3" fontId="4" fillId="0" borderId="0" xfId="0" applyNumberFormat="1" applyFont="1" applyAlignment="1">
      <alignment/>
    </xf>
    <xf numFmtId="0" fontId="4" fillId="0" borderId="4" xfId="0" applyFont="1" applyBorder="1" applyAlignment="1" quotePrefix="1">
      <alignment horizontal="center"/>
    </xf>
    <xf numFmtId="188" fontId="4" fillId="0" borderId="4" xfId="17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 quotePrefix="1">
      <alignment horizontal="center"/>
    </xf>
    <xf numFmtId="189" fontId="4" fillId="0" borderId="0" xfId="0" applyNumberFormat="1" applyFont="1" applyBorder="1" applyAlignment="1" quotePrefix="1">
      <alignment horizontal="center"/>
    </xf>
    <xf numFmtId="190" fontId="4" fillId="0" borderId="5" xfId="17" applyNumberFormat="1" applyFont="1" applyBorder="1" applyAlignment="1">
      <alignment/>
    </xf>
    <xf numFmtId="189" fontId="4" fillId="0" borderId="5" xfId="17" applyNumberFormat="1" applyFont="1" applyBorder="1" applyAlignment="1">
      <alignment horizontal="center"/>
    </xf>
    <xf numFmtId="190" fontId="4" fillId="0" borderId="0" xfId="17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88" fontId="4" fillId="0" borderId="0" xfId="17" applyNumberFormat="1" applyFont="1" applyBorder="1" applyAlignment="1">
      <alignment/>
    </xf>
    <xf numFmtId="188" fontId="4" fillId="0" borderId="6" xfId="17" applyNumberFormat="1" applyFont="1" applyBorder="1" applyAlignment="1">
      <alignment/>
    </xf>
    <xf numFmtId="189" fontId="4" fillId="0" borderId="6" xfId="17" applyNumberFormat="1" applyFont="1" applyBorder="1" applyAlignment="1">
      <alignment horizontal="center"/>
    </xf>
    <xf numFmtId="189" fontId="4" fillId="0" borderId="0" xfId="17" applyNumberFormat="1" applyFont="1" applyBorder="1" applyAlignment="1" quotePrefix="1">
      <alignment horizontal="center"/>
    </xf>
    <xf numFmtId="189" fontId="4" fillId="0" borderId="5" xfId="17" applyNumberFormat="1" applyFont="1" applyBorder="1" applyAlignment="1" quotePrefix="1">
      <alignment horizontal="center"/>
    </xf>
    <xf numFmtId="0" fontId="6" fillId="0" borderId="3" xfId="0" applyFont="1" applyBorder="1" applyAlignment="1">
      <alignment/>
    </xf>
    <xf numFmtId="188" fontId="4" fillId="0" borderId="0" xfId="0" applyNumberFormat="1" applyFont="1" applyAlignment="1">
      <alignment/>
    </xf>
    <xf numFmtId="188" fontId="4" fillId="0" borderId="5" xfId="17" applyNumberFormat="1" applyFont="1" applyBorder="1" applyAlignment="1">
      <alignment/>
    </xf>
    <xf numFmtId="190" fontId="4" fillId="0" borderId="0" xfId="17" applyNumberFormat="1" applyFont="1" applyBorder="1" applyAlignment="1" quotePrefix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190" fontId="4" fillId="0" borderId="6" xfId="17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89" fontId="4" fillId="0" borderId="8" xfId="17" applyNumberFormat="1" applyFont="1" applyBorder="1" applyAlignment="1">
      <alignment horizontal="center"/>
    </xf>
    <xf numFmtId="191" fontId="4" fillId="0" borderId="4" xfId="17" applyNumberFormat="1" applyFont="1" applyBorder="1" applyAlignment="1">
      <alignment horizontal="right"/>
    </xf>
    <xf numFmtId="192" fontId="4" fillId="0" borderId="4" xfId="17" applyNumberFormat="1" applyFont="1" applyBorder="1" applyAlignment="1">
      <alignment horizontal="center"/>
    </xf>
    <xf numFmtId="43" fontId="4" fillId="0" borderId="0" xfId="17" applyFont="1" applyBorder="1" applyAlignment="1">
      <alignment/>
    </xf>
    <xf numFmtId="0" fontId="7" fillId="0" borderId="0" xfId="0" applyFont="1" applyAlignment="1">
      <alignment/>
    </xf>
    <xf numFmtId="43" fontId="4" fillId="0" borderId="9" xfId="17" applyFont="1" applyBorder="1" applyAlignment="1">
      <alignment/>
    </xf>
    <xf numFmtId="43" fontId="4" fillId="0" borderId="10" xfId="17" applyFont="1" applyBorder="1" applyAlignment="1">
      <alignment/>
    </xf>
    <xf numFmtId="43" fontId="4" fillId="0" borderId="7" xfId="17" applyFont="1" applyBorder="1" applyAlignment="1">
      <alignment/>
    </xf>
    <xf numFmtId="43" fontId="4" fillId="0" borderId="11" xfId="17" applyFont="1" applyBorder="1" applyAlignment="1">
      <alignment/>
    </xf>
    <xf numFmtId="43" fontId="4" fillId="0" borderId="5" xfId="17" applyFont="1" applyBorder="1" applyAlignment="1">
      <alignment/>
    </xf>
    <xf numFmtId="43" fontId="4" fillId="0" borderId="12" xfId="17" applyFont="1" applyBorder="1" applyAlignment="1">
      <alignment/>
    </xf>
    <xf numFmtId="43" fontId="4" fillId="0" borderId="13" xfId="17" applyFont="1" applyBorder="1" applyAlignment="1">
      <alignment/>
    </xf>
    <xf numFmtId="43" fontId="4" fillId="0" borderId="14" xfId="17" applyFont="1" applyBorder="1" applyAlignment="1">
      <alignment/>
    </xf>
    <xf numFmtId="0" fontId="4" fillId="0" borderId="6" xfId="0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11" xfId="0" applyNumberFormat="1" applyFont="1" applyBorder="1" applyAlignment="1">
      <alignment/>
    </xf>
    <xf numFmtId="194" fontId="4" fillId="0" borderId="0" xfId="0" applyNumberFormat="1" applyFont="1" applyAlignment="1" quotePrefix="1">
      <alignment horizontal="right"/>
    </xf>
    <xf numFmtId="43" fontId="4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43" fontId="4" fillId="0" borderId="15" xfId="17" applyFont="1" applyBorder="1" applyAlignment="1">
      <alignment/>
    </xf>
    <xf numFmtId="43" fontId="4" fillId="0" borderId="13" xfId="0" applyNumberFormat="1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4" fillId="0" borderId="0" xfId="17" applyFont="1" applyAlignment="1">
      <alignment horizontal="center"/>
    </xf>
    <xf numFmtId="43" fontId="4" fillId="0" borderId="0" xfId="17" applyFont="1" applyAlignment="1">
      <alignment/>
    </xf>
    <xf numFmtId="43" fontId="4" fillId="0" borderId="0" xfId="17" applyFont="1" applyAlignment="1" quotePrefix="1">
      <alignment horizontal="center"/>
    </xf>
    <xf numFmtId="43" fontId="4" fillId="0" borderId="0" xfId="0" applyNumberFormat="1" applyFont="1" applyBorder="1" applyAlignment="1" quotePrefix="1">
      <alignment horizontal="center"/>
    </xf>
    <xf numFmtId="194" fontId="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4" xfId="17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7" xfId="17" applyFont="1" applyBorder="1" applyAlignment="1">
      <alignment/>
    </xf>
    <xf numFmtId="43" fontId="7" fillId="0" borderId="6" xfId="17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3" xfId="17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17" applyFont="1" applyAlignment="1">
      <alignment/>
    </xf>
    <xf numFmtId="192" fontId="4" fillId="0" borderId="11" xfId="17" applyNumberFormat="1" applyFont="1" applyBorder="1" applyAlignment="1">
      <alignment horizontal="center"/>
    </xf>
    <xf numFmtId="189" fontId="4" fillId="0" borderId="11" xfId="17" applyNumberFormat="1" applyFont="1" applyBorder="1" applyAlignment="1">
      <alignment horizontal="center"/>
    </xf>
    <xf numFmtId="43" fontId="4" fillId="0" borderId="14" xfId="0" applyNumberFormat="1" applyFont="1" applyBorder="1" applyAlignment="1">
      <alignment/>
    </xf>
    <xf numFmtId="189" fontId="4" fillId="0" borderId="0" xfId="17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7" fillId="0" borderId="18" xfId="17" applyFont="1" applyBorder="1" applyAlignment="1">
      <alignment/>
    </xf>
    <xf numFmtId="43" fontId="12" fillId="0" borderId="6" xfId="17" applyFont="1" applyBorder="1" applyAlignment="1">
      <alignment/>
    </xf>
    <xf numFmtId="43" fontId="7" fillId="0" borderId="19" xfId="17" applyFont="1" applyBorder="1" applyAlignment="1">
      <alignment/>
    </xf>
    <xf numFmtId="0" fontId="7" fillId="0" borderId="3" xfId="0" applyFont="1" applyBorder="1" applyAlignment="1">
      <alignment/>
    </xf>
    <xf numFmtId="188" fontId="7" fillId="0" borderId="4" xfId="17" applyNumberFormat="1" applyFont="1" applyBorder="1" applyAlignment="1">
      <alignment horizontal="center"/>
    </xf>
    <xf numFmtId="188" fontId="7" fillId="0" borderId="6" xfId="17" applyNumberFormat="1" applyFont="1" applyBorder="1" applyAlignment="1">
      <alignment horizontal="center"/>
    </xf>
    <xf numFmtId="43" fontId="7" fillId="0" borderId="0" xfId="17" applyFont="1" applyBorder="1" applyAlignment="1">
      <alignment/>
    </xf>
    <xf numFmtId="0" fontId="7" fillId="0" borderId="20" xfId="0" applyFont="1" applyBorder="1" applyAlignment="1" quotePrefix="1">
      <alignment horizontal="center"/>
    </xf>
    <xf numFmtId="43" fontId="7" fillId="0" borderId="20" xfId="17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196" fontId="4" fillId="0" borderId="4" xfId="17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21" xfId="0" applyFont="1" applyBorder="1" applyAlignment="1">
      <alignment/>
    </xf>
    <xf numFmtId="43" fontId="7" fillId="0" borderId="15" xfId="17" applyFont="1" applyBorder="1" applyAlignment="1">
      <alignment/>
    </xf>
    <xf numFmtId="0" fontId="12" fillId="0" borderId="0" xfId="0" applyFont="1" applyBorder="1" applyAlignment="1">
      <alignment/>
    </xf>
    <xf numFmtId="43" fontId="7" fillId="0" borderId="10" xfId="17" applyFont="1" applyBorder="1" applyAlignment="1">
      <alignment/>
    </xf>
    <xf numFmtId="43" fontId="4" fillId="0" borderId="13" xfId="0" applyNumberFormat="1" applyFont="1" applyBorder="1" applyAlignment="1">
      <alignment/>
    </xf>
    <xf numFmtId="190" fontId="4" fillId="0" borderId="3" xfId="17" applyNumberFormat="1" applyFont="1" applyBorder="1" applyAlignment="1">
      <alignment horizontal="right"/>
    </xf>
    <xf numFmtId="0" fontId="11" fillId="0" borderId="0" xfId="0" applyFont="1" applyAlignment="1">
      <alignment/>
    </xf>
    <xf numFmtId="194" fontId="4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87" fontId="7" fillId="0" borderId="18" xfId="0" applyNumberFormat="1" applyFont="1" applyBorder="1" applyAlignment="1" quotePrefix="1">
      <alignment horizontal="center"/>
    </xf>
    <xf numFmtId="43" fontId="7" fillId="0" borderId="23" xfId="17" applyFont="1" applyBorder="1" applyAlignment="1">
      <alignment/>
    </xf>
    <xf numFmtId="187" fontId="7" fillId="0" borderId="18" xfId="0" applyNumberFormat="1" applyFont="1" applyBorder="1" applyAlignment="1">
      <alignment horizontal="center"/>
    </xf>
    <xf numFmtId="187" fontId="7" fillId="0" borderId="23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0" xfId="0" applyFont="1" applyBorder="1" applyAlignment="1">
      <alignment/>
    </xf>
    <xf numFmtId="188" fontId="7" fillId="0" borderId="6" xfId="17" applyNumberFormat="1" applyFont="1" applyBorder="1" applyAlignment="1">
      <alignment/>
    </xf>
    <xf numFmtId="188" fontId="7" fillId="0" borderId="4" xfId="17" applyNumberFormat="1" applyFont="1" applyBorder="1" applyAlignment="1">
      <alignment/>
    </xf>
    <xf numFmtId="188" fontId="7" fillId="0" borderId="11" xfId="17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187" fontId="7" fillId="0" borderId="24" xfId="0" applyNumberFormat="1" applyFont="1" applyBorder="1" applyAlignment="1" quotePrefix="1">
      <alignment horizontal="center"/>
    </xf>
    <xf numFmtId="43" fontId="7" fillId="0" borderId="25" xfId="17" applyFont="1" applyBorder="1" applyAlignment="1">
      <alignment/>
    </xf>
    <xf numFmtId="0" fontId="18" fillId="0" borderId="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3" fontId="7" fillId="0" borderId="4" xfId="17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Normal="75" zoomScaleSheetLayoutView="100" workbookViewId="0" topLeftCell="A19">
      <selection activeCell="D13" sqref="D13"/>
    </sheetView>
  </sheetViews>
  <sheetFormatPr defaultColWidth="9.140625" defaultRowHeight="21.75" customHeight="1"/>
  <cols>
    <col min="1" max="2" width="9.140625" style="79" customWidth="1"/>
    <col min="3" max="3" width="12.00390625" style="79" customWidth="1"/>
    <col min="4" max="4" width="25.8515625" style="79" customWidth="1"/>
    <col min="5" max="5" width="9.140625" style="79" customWidth="1"/>
    <col min="6" max="6" width="19.421875" style="79" customWidth="1"/>
    <col min="7" max="7" width="20.00390625" style="79" customWidth="1"/>
    <col min="8" max="8" width="8.8515625" style="79" customWidth="1"/>
    <col min="9" max="9" width="14.421875" style="79" bestFit="1" customWidth="1"/>
    <col min="10" max="10" width="16.28125" style="79" customWidth="1"/>
    <col min="11" max="16384" width="9.140625" style="79" customWidth="1"/>
  </cols>
  <sheetData>
    <row r="1" spans="1:7" ht="21.75" customHeight="1">
      <c r="A1" s="157" t="s">
        <v>245</v>
      </c>
      <c r="B1" s="157"/>
      <c r="C1" s="157"/>
      <c r="D1" s="157"/>
      <c r="E1" s="157"/>
      <c r="F1" s="157"/>
      <c r="G1" s="157"/>
    </row>
    <row r="2" spans="1:7" ht="21.75" customHeight="1">
      <c r="A2" s="157" t="s">
        <v>28</v>
      </c>
      <c r="B2" s="157"/>
      <c r="C2" s="157"/>
      <c r="D2" s="157"/>
      <c r="E2" s="157"/>
      <c r="F2" s="157"/>
      <c r="G2" s="157"/>
    </row>
    <row r="3" spans="1:7" ht="21.75" customHeight="1">
      <c r="A3" s="158" t="s">
        <v>318</v>
      </c>
      <c r="B3" s="158"/>
      <c r="C3" s="158"/>
      <c r="D3" s="158"/>
      <c r="E3" s="158"/>
      <c r="F3" s="158"/>
      <c r="G3" s="158"/>
    </row>
    <row r="4" spans="1:7" ht="21.75" customHeight="1">
      <c r="A4" s="159" t="s">
        <v>26</v>
      </c>
      <c r="B4" s="160"/>
      <c r="C4" s="160"/>
      <c r="D4" s="161"/>
      <c r="E4" s="164" t="s">
        <v>27</v>
      </c>
      <c r="F4" s="164" t="s">
        <v>29</v>
      </c>
      <c r="G4" s="164" t="s">
        <v>30</v>
      </c>
    </row>
    <row r="5" spans="1:7" ht="21.75" customHeight="1">
      <c r="A5" s="154"/>
      <c r="B5" s="162"/>
      <c r="C5" s="162"/>
      <c r="D5" s="163"/>
      <c r="E5" s="165"/>
      <c r="F5" s="165"/>
      <c r="G5" s="165"/>
    </row>
    <row r="6" spans="1:7" ht="21.75" customHeight="1">
      <c r="A6" s="152" t="s">
        <v>31</v>
      </c>
      <c r="B6" s="149"/>
      <c r="C6" s="149"/>
      <c r="D6" s="150"/>
      <c r="E6" s="146" t="s">
        <v>32</v>
      </c>
      <c r="F6" s="153">
        <v>4031</v>
      </c>
      <c r="G6" s="151"/>
    </row>
    <row r="7" spans="1:7" ht="21.75" customHeight="1">
      <c r="A7" s="115" t="s">
        <v>246</v>
      </c>
      <c r="B7" s="123"/>
      <c r="C7" s="123"/>
      <c r="D7" s="124"/>
      <c r="E7" s="125" t="s">
        <v>33</v>
      </c>
      <c r="F7" s="102">
        <v>2663934.44</v>
      </c>
      <c r="G7" s="126"/>
    </row>
    <row r="8" spans="1:7" ht="21.75" customHeight="1">
      <c r="A8" s="115" t="s">
        <v>247</v>
      </c>
      <c r="B8" s="123"/>
      <c r="C8" s="123"/>
      <c r="D8" s="124"/>
      <c r="E8" s="125">
        <v>22</v>
      </c>
      <c r="F8" s="102">
        <v>267275.86</v>
      </c>
      <c r="G8" s="126"/>
    </row>
    <row r="9" spans="1:9" ht="21.75" customHeight="1">
      <c r="A9" s="115" t="s">
        <v>248</v>
      </c>
      <c r="B9" s="123"/>
      <c r="C9" s="123"/>
      <c r="D9" s="124"/>
      <c r="E9" s="125">
        <v>21</v>
      </c>
      <c r="F9" s="102">
        <v>0</v>
      </c>
      <c r="G9" s="126"/>
      <c r="I9" s="49"/>
    </row>
    <row r="10" spans="1:9" ht="21.75" customHeight="1">
      <c r="A10" s="115" t="s">
        <v>262</v>
      </c>
      <c r="B10" s="123"/>
      <c r="C10" s="123"/>
      <c r="D10" s="124"/>
      <c r="E10" s="125">
        <v>22</v>
      </c>
      <c r="F10" s="102">
        <v>8271809.73</v>
      </c>
      <c r="G10" s="126"/>
      <c r="I10" s="95"/>
    </row>
    <row r="11" spans="1:9" ht="21.75" customHeight="1">
      <c r="A11" s="115" t="s">
        <v>266</v>
      </c>
      <c r="B11" s="123"/>
      <c r="C11" s="123"/>
      <c r="D11" s="124"/>
      <c r="E11" s="125">
        <v>21</v>
      </c>
      <c r="F11" s="102">
        <v>3862395.89</v>
      </c>
      <c r="G11" s="126"/>
      <c r="I11" s="95"/>
    </row>
    <row r="12" spans="1:9" ht="21.75" customHeight="1">
      <c r="A12" s="115" t="s">
        <v>36</v>
      </c>
      <c r="B12" s="123"/>
      <c r="C12" s="123"/>
      <c r="D12" s="124"/>
      <c r="E12" s="125">
        <v>704</v>
      </c>
      <c r="F12" s="102">
        <v>64080</v>
      </c>
      <c r="G12" s="126"/>
      <c r="I12" s="96"/>
    </row>
    <row r="13" spans="1:7" ht="21.75" customHeight="1">
      <c r="A13" s="115" t="s">
        <v>34</v>
      </c>
      <c r="B13" s="123"/>
      <c r="C13" s="123"/>
      <c r="D13" s="124"/>
      <c r="E13" s="125"/>
      <c r="F13" s="102">
        <v>31540</v>
      </c>
      <c r="G13" s="126"/>
    </row>
    <row r="14" spans="1:7" ht="21.75" customHeight="1">
      <c r="A14" s="115" t="s">
        <v>47</v>
      </c>
      <c r="B14" s="123"/>
      <c r="C14" s="123"/>
      <c r="D14" s="124"/>
      <c r="E14" s="125" t="s">
        <v>249</v>
      </c>
      <c r="F14" s="102">
        <v>937999.33</v>
      </c>
      <c r="G14" s="126"/>
    </row>
    <row r="15" spans="1:9" ht="21.75" customHeight="1">
      <c r="A15" s="115" t="s">
        <v>37</v>
      </c>
      <c r="B15" s="123"/>
      <c r="C15" s="123"/>
      <c r="D15" s="124" t="s">
        <v>240</v>
      </c>
      <c r="E15" s="127">
        <v>5100</v>
      </c>
      <c r="F15" s="102">
        <v>2474158</v>
      </c>
      <c r="G15" s="126"/>
      <c r="I15" s="49"/>
    </row>
    <row r="16" spans="1:9" ht="21.75" customHeight="1">
      <c r="A16" s="115" t="s">
        <v>38</v>
      </c>
      <c r="B16" s="123"/>
      <c r="C16" s="123"/>
      <c r="D16" s="124"/>
      <c r="E16" s="127">
        <v>5120</v>
      </c>
      <c r="F16" s="102">
        <v>86640</v>
      </c>
      <c r="G16" s="126"/>
      <c r="I16" s="49"/>
    </row>
    <row r="17" spans="1:9" ht="21.75" customHeight="1">
      <c r="A17" s="115" t="s">
        <v>39</v>
      </c>
      <c r="B17" s="123"/>
      <c r="C17" s="123"/>
      <c r="D17" s="124"/>
      <c r="E17" s="127">
        <v>5130</v>
      </c>
      <c r="F17" s="102">
        <v>317120</v>
      </c>
      <c r="G17" s="126"/>
      <c r="I17" s="49"/>
    </row>
    <row r="18" spans="1:9" ht="21.75" customHeight="1">
      <c r="A18" s="115" t="s">
        <v>40</v>
      </c>
      <c r="B18" s="123"/>
      <c r="C18" s="123"/>
      <c r="D18" s="124"/>
      <c r="E18" s="127">
        <v>5200</v>
      </c>
      <c r="F18" s="102">
        <v>94017.5</v>
      </c>
      <c r="G18" s="126"/>
      <c r="I18" s="49"/>
    </row>
    <row r="19" spans="1:9" ht="21.75" customHeight="1">
      <c r="A19" s="115" t="s">
        <v>41</v>
      </c>
      <c r="B19" s="123"/>
      <c r="C19" s="123"/>
      <c r="D19" s="124"/>
      <c r="E19" s="127">
        <v>5250</v>
      </c>
      <c r="F19" s="102">
        <v>1006952</v>
      </c>
      <c r="G19" s="126"/>
      <c r="I19" s="49"/>
    </row>
    <row r="20" spans="1:9" ht="21.75" customHeight="1">
      <c r="A20" s="115" t="s">
        <v>42</v>
      </c>
      <c r="B20" s="123"/>
      <c r="C20" s="123"/>
      <c r="D20" s="124"/>
      <c r="E20" s="127">
        <v>5270</v>
      </c>
      <c r="F20" s="102">
        <v>652923.6</v>
      </c>
      <c r="G20" s="126"/>
      <c r="I20" s="95"/>
    </row>
    <row r="21" spans="1:9" ht="21.75" customHeight="1">
      <c r="A21" s="115" t="s">
        <v>43</v>
      </c>
      <c r="B21" s="123"/>
      <c r="C21" s="123"/>
      <c r="D21" s="124"/>
      <c r="E21" s="127">
        <v>5300</v>
      </c>
      <c r="F21" s="102">
        <v>80959.09</v>
      </c>
      <c r="G21" s="126"/>
      <c r="I21" s="49"/>
    </row>
    <row r="22" spans="1:9" ht="21.75" customHeight="1">
      <c r="A22" s="115" t="s">
        <v>44</v>
      </c>
      <c r="B22" s="123"/>
      <c r="C22" s="123"/>
      <c r="D22" s="124"/>
      <c r="E22" s="127">
        <v>5400</v>
      </c>
      <c r="F22" s="102">
        <v>1558246.32</v>
      </c>
      <c r="G22" s="126"/>
      <c r="I22" s="49"/>
    </row>
    <row r="23" spans="1:9" ht="21.75" customHeight="1">
      <c r="A23" s="115" t="s">
        <v>271</v>
      </c>
      <c r="B23" s="123"/>
      <c r="C23" s="123"/>
      <c r="D23" s="124"/>
      <c r="E23" s="127"/>
      <c r="F23" s="102">
        <f>114000+113500+179500+134000-1500+133500+343000+208500+208000+207000</f>
        <v>1639500</v>
      </c>
      <c r="G23" s="126"/>
      <c r="I23" s="49"/>
    </row>
    <row r="24" spans="1:9" ht="21.75" customHeight="1">
      <c r="A24" s="115" t="s">
        <v>292</v>
      </c>
      <c r="B24" s="123"/>
      <c r="C24" s="123"/>
      <c r="D24" s="124"/>
      <c r="E24" s="127"/>
      <c r="F24" s="102">
        <f>135500+67500+67000+65500+65000+64500+84000+84000+83500+82500</f>
        <v>799000</v>
      </c>
      <c r="G24" s="126"/>
      <c r="I24" s="49"/>
    </row>
    <row r="25" spans="1:9" ht="21.75" customHeight="1">
      <c r="A25" s="115" t="s">
        <v>300</v>
      </c>
      <c r="B25" s="123"/>
      <c r="C25" s="123"/>
      <c r="D25" s="124"/>
      <c r="E25" s="127"/>
      <c r="F25" s="102">
        <f>48060+16020+739+739+16020+739+1478</f>
        <v>83795</v>
      </c>
      <c r="G25" s="126"/>
      <c r="I25" s="49"/>
    </row>
    <row r="26" spans="1:9" ht="21.75" customHeight="1">
      <c r="A26" s="115" t="s">
        <v>301</v>
      </c>
      <c r="B26" s="123"/>
      <c r="C26" s="123"/>
      <c r="D26" s="124"/>
      <c r="E26" s="127">
        <v>91</v>
      </c>
      <c r="F26" s="102">
        <v>0</v>
      </c>
      <c r="G26" s="126"/>
      <c r="I26" s="49"/>
    </row>
    <row r="27" spans="1:9" ht="21.75" customHeight="1">
      <c r="A27" s="115" t="s">
        <v>45</v>
      </c>
      <c r="B27" s="123"/>
      <c r="C27" s="123"/>
      <c r="D27" s="124"/>
      <c r="E27" s="127">
        <v>450</v>
      </c>
      <c r="F27" s="102">
        <v>103930</v>
      </c>
      <c r="G27" s="126"/>
      <c r="I27" s="49"/>
    </row>
    <row r="28" spans="1:9" ht="21.75" customHeight="1">
      <c r="A28" s="115" t="s">
        <v>46</v>
      </c>
      <c r="B28" s="123"/>
      <c r="C28" s="123"/>
      <c r="D28" s="124"/>
      <c r="E28" s="127">
        <v>500</v>
      </c>
      <c r="F28" s="102">
        <v>309000</v>
      </c>
      <c r="G28" s="126"/>
      <c r="I28" s="49"/>
    </row>
    <row r="29" spans="1:7" ht="21.75" customHeight="1">
      <c r="A29" s="115" t="s">
        <v>294</v>
      </c>
      <c r="B29" s="123"/>
      <c r="C29" s="123"/>
      <c r="D29" s="124"/>
      <c r="E29" s="127"/>
      <c r="F29" s="102"/>
      <c r="G29" s="126">
        <v>42885</v>
      </c>
    </row>
    <row r="30" spans="1:7" ht="21.75" customHeight="1">
      <c r="A30" s="115" t="s">
        <v>295</v>
      </c>
      <c r="B30" s="123"/>
      <c r="C30" s="123"/>
      <c r="D30" s="124"/>
      <c r="E30" s="127"/>
      <c r="F30" s="102"/>
      <c r="G30" s="104">
        <v>0</v>
      </c>
    </row>
    <row r="31" spans="1:7" ht="21.75" customHeight="1">
      <c r="A31" s="115" t="s">
        <v>297</v>
      </c>
      <c r="B31" s="123"/>
      <c r="C31" s="123"/>
      <c r="D31" s="124"/>
      <c r="E31" s="127"/>
      <c r="F31" s="102"/>
      <c r="G31" s="147">
        <v>34000</v>
      </c>
    </row>
    <row r="32" spans="1:7" ht="21.75" customHeight="1">
      <c r="A32" s="115" t="s">
        <v>289</v>
      </c>
      <c r="B32" s="123"/>
      <c r="C32" s="123"/>
      <c r="D32" s="124"/>
      <c r="E32" s="127"/>
      <c r="F32" s="102"/>
      <c r="G32" s="126">
        <v>7500</v>
      </c>
    </row>
    <row r="33" spans="1:9" ht="21.75" customHeight="1">
      <c r="A33" s="115" t="s">
        <v>237</v>
      </c>
      <c r="B33" s="123"/>
      <c r="C33" s="123"/>
      <c r="D33" s="124"/>
      <c r="E33" s="127">
        <v>550</v>
      </c>
      <c r="F33" s="102"/>
      <c r="G33" s="126"/>
      <c r="I33" s="49"/>
    </row>
    <row r="34" spans="1:9" ht="21.75" customHeight="1">
      <c r="A34" s="115" t="s">
        <v>251</v>
      </c>
      <c r="B34" s="123"/>
      <c r="C34" s="123"/>
      <c r="D34" s="124"/>
      <c r="E34" s="127">
        <v>903</v>
      </c>
      <c r="F34" s="102"/>
      <c r="G34" s="126">
        <v>408009</v>
      </c>
      <c r="I34" s="129"/>
    </row>
    <row r="35" spans="1:9" ht="21.75" customHeight="1">
      <c r="A35" s="115" t="s">
        <v>252</v>
      </c>
      <c r="B35" s="123"/>
      <c r="C35" s="123"/>
      <c r="D35" s="124"/>
      <c r="E35" s="127"/>
      <c r="F35" s="102"/>
      <c r="G35" s="126">
        <v>40871.15</v>
      </c>
      <c r="I35" s="49"/>
    </row>
    <row r="36" spans="1:9" ht="21.75" customHeight="1">
      <c r="A36" s="115" t="s">
        <v>48</v>
      </c>
      <c r="B36" s="123"/>
      <c r="C36" s="123"/>
      <c r="D36" s="124" t="s">
        <v>240</v>
      </c>
      <c r="E36" s="127">
        <v>700</v>
      </c>
      <c r="F36" s="102"/>
      <c r="G36" s="126">
        <v>4778812.01</v>
      </c>
      <c r="I36" s="49"/>
    </row>
    <row r="37" spans="1:9" ht="21.75" customHeight="1">
      <c r="A37" s="115" t="s">
        <v>51</v>
      </c>
      <c r="B37" s="123"/>
      <c r="C37" s="123"/>
      <c r="D37" s="124"/>
      <c r="E37" s="128">
        <v>704</v>
      </c>
      <c r="F37" s="102"/>
      <c r="G37" s="126">
        <v>3766977.44</v>
      </c>
      <c r="I37" s="49"/>
    </row>
    <row r="38" spans="1:9" ht="21.75" customHeight="1">
      <c r="A38" s="115" t="s">
        <v>253</v>
      </c>
      <c r="B38" s="123"/>
      <c r="C38" s="123"/>
      <c r="D38" s="124"/>
      <c r="E38" s="127">
        <v>701</v>
      </c>
      <c r="F38" s="102"/>
      <c r="G38" s="126">
        <v>708506.86</v>
      </c>
      <c r="I38" s="49"/>
    </row>
    <row r="39" spans="1:9" ht="21.75" customHeight="1">
      <c r="A39" s="115" t="s">
        <v>281</v>
      </c>
      <c r="B39" s="123"/>
      <c r="C39" s="123"/>
      <c r="D39" s="124"/>
      <c r="E39" s="127">
        <v>701</v>
      </c>
      <c r="F39" s="102">
        <v>437200</v>
      </c>
      <c r="G39" s="126"/>
      <c r="I39" s="49"/>
    </row>
    <row r="40" spans="1:9" ht="21.75" customHeight="1">
      <c r="A40" s="115" t="s">
        <v>250</v>
      </c>
      <c r="B40" s="123"/>
      <c r="C40" s="123"/>
      <c r="D40" s="124"/>
      <c r="E40" s="127">
        <v>821</v>
      </c>
      <c r="F40" s="102"/>
      <c r="G40" s="126">
        <f>351099.93+1375412.23+1235302.3+5818384.07+1159719.79+458761.97+318600+2079663.85+825887.19+1005802.13+1302307.79</f>
        <v>15930941.25</v>
      </c>
      <c r="I40" s="95"/>
    </row>
    <row r="41" spans="1:9" ht="21.75" customHeight="1">
      <c r="A41" s="115" t="s">
        <v>254</v>
      </c>
      <c r="B41" s="123"/>
      <c r="C41" s="123"/>
      <c r="D41" s="124"/>
      <c r="E41" s="128">
        <v>906</v>
      </c>
      <c r="F41" s="102"/>
      <c r="G41" s="126">
        <v>2007.8</v>
      </c>
      <c r="I41" s="49"/>
    </row>
    <row r="42" spans="1:9" ht="21.75" customHeight="1">
      <c r="A42" s="115" t="s">
        <v>255</v>
      </c>
      <c r="B42" s="123"/>
      <c r="C42" s="123"/>
      <c r="D42" s="124"/>
      <c r="E42" s="128">
        <v>907</v>
      </c>
      <c r="F42" s="102"/>
      <c r="G42" s="126">
        <v>2409.36</v>
      </c>
      <c r="I42" s="96"/>
    </row>
    <row r="43" spans="1:9" ht="21.75" customHeight="1">
      <c r="A43" s="115" t="s">
        <v>272</v>
      </c>
      <c r="B43" s="123"/>
      <c r="C43" s="123"/>
      <c r="D43" s="124"/>
      <c r="E43" s="128">
        <v>902</v>
      </c>
      <c r="F43" s="102"/>
      <c r="G43" s="126">
        <v>23587.89</v>
      </c>
      <c r="I43" s="49"/>
    </row>
    <row r="44" spans="1:9" ht="21.75" customHeight="1">
      <c r="A44" s="84"/>
      <c r="B44" s="85"/>
      <c r="C44" s="86"/>
      <c r="D44" s="87"/>
      <c r="E44" s="88"/>
      <c r="F44" s="89">
        <f>SUM(F6:F43)</f>
        <v>25746507.76</v>
      </c>
      <c r="G44" s="90">
        <f>SUM(G23:G43)</f>
        <v>25746507.76</v>
      </c>
      <c r="I44" s="95">
        <f>F44-G44</f>
        <v>0</v>
      </c>
    </row>
    <row r="45" spans="1:9" ht="21.75" customHeight="1">
      <c r="A45" s="156" t="s">
        <v>243</v>
      </c>
      <c r="B45" s="156"/>
      <c r="C45" s="156"/>
      <c r="D45" s="156" t="s">
        <v>244</v>
      </c>
      <c r="E45" s="156"/>
      <c r="F45" s="156" t="s">
        <v>244</v>
      </c>
      <c r="G45" s="156"/>
      <c r="I45" s="49"/>
    </row>
    <row r="46" spans="1:7" ht="13.5" customHeight="1">
      <c r="A46" s="49"/>
      <c r="B46" s="49"/>
      <c r="C46" s="49"/>
      <c r="D46" s="49"/>
      <c r="E46" s="49"/>
      <c r="F46" s="95"/>
      <c r="G46" s="95"/>
    </row>
    <row r="47" spans="1:7" ht="21.75" customHeight="1">
      <c r="A47" s="155" t="s">
        <v>241</v>
      </c>
      <c r="B47" s="155"/>
      <c r="C47" s="155"/>
      <c r="D47" s="155" t="s">
        <v>242</v>
      </c>
      <c r="E47" s="155"/>
      <c r="F47" s="155" t="s">
        <v>290</v>
      </c>
      <c r="G47" s="155"/>
    </row>
    <row r="48" spans="1:7" ht="21.75" customHeight="1">
      <c r="A48" s="155" t="s">
        <v>11</v>
      </c>
      <c r="B48" s="155"/>
      <c r="C48" s="155"/>
      <c r="D48" s="155" t="s">
        <v>12</v>
      </c>
      <c r="E48" s="155"/>
      <c r="F48" s="155" t="s">
        <v>291</v>
      </c>
      <c r="G48" s="155"/>
    </row>
    <row r="49" spans="1:7" ht="21.75" customHeight="1">
      <c r="A49" s="155"/>
      <c r="B49" s="155"/>
      <c r="C49" s="155"/>
      <c r="F49" s="155"/>
      <c r="G49" s="155"/>
    </row>
    <row r="51" ht="21.75" customHeight="1">
      <c r="D51" s="79" t="s">
        <v>240</v>
      </c>
    </row>
  </sheetData>
  <sheetProtection/>
  <mergeCells count="18">
    <mergeCell ref="A1:G1"/>
    <mergeCell ref="A2:G2"/>
    <mergeCell ref="A3:G3"/>
    <mergeCell ref="A4:D5"/>
    <mergeCell ref="E4:E5"/>
    <mergeCell ref="F4:F5"/>
    <mergeCell ref="G4:G5"/>
    <mergeCell ref="A45:C45"/>
    <mergeCell ref="D45:E45"/>
    <mergeCell ref="F45:G45"/>
    <mergeCell ref="A47:C47"/>
    <mergeCell ref="D47:E47"/>
    <mergeCell ref="F47:G47"/>
    <mergeCell ref="A48:C48"/>
    <mergeCell ref="D48:E48"/>
    <mergeCell ref="F48:G48"/>
    <mergeCell ref="A49:C49"/>
    <mergeCell ref="F49:G49"/>
  </mergeCells>
  <printOptions/>
  <pageMargins left="0.7874015748031497" right="0.1968503937007874" top="0" bottom="0" header="0" footer="0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workbookViewId="0" topLeftCell="A94">
      <selection activeCell="J86" sqref="J86"/>
    </sheetView>
  </sheetViews>
  <sheetFormatPr defaultColWidth="9.140625" defaultRowHeight="21.75" customHeight="1"/>
  <cols>
    <col min="1" max="1" width="9.421875" style="0" customWidth="1"/>
    <col min="3" max="3" width="19.8515625" style="0" customWidth="1"/>
    <col min="4" max="4" width="13.57421875" style="0" customWidth="1"/>
    <col min="5" max="5" width="1.7109375" style="0" customWidth="1"/>
    <col min="6" max="6" width="16.7109375" style="0" customWidth="1"/>
    <col min="7" max="7" width="1.7109375" style="0" customWidth="1"/>
    <col min="8" max="8" width="15.7109375" style="0" customWidth="1"/>
    <col min="9" max="9" width="1.7109375" style="0" customWidth="1"/>
    <col min="10" max="10" width="18.421875" style="0" customWidth="1"/>
  </cols>
  <sheetData>
    <row r="1" spans="1:10" ht="21.75" customHeight="1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21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1.75" customHeight="1">
      <c r="A3" s="181" t="s">
        <v>306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1.75" customHeight="1">
      <c r="A4" s="182" t="s">
        <v>239</v>
      </c>
      <c r="B4" s="182"/>
      <c r="C4" s="182"/>
      <c r="D4" s="58" t="s">
        <v>1</v>
      </c>
      <c r="E4" s="183" t="s">
        <v>2</v>
      </c>
      <c r="F4" s="184"/>
      <c r="G4" s="183" t="s">
        <v>3</v>
      </c>
      <c r="H4" s="185"/>
      <c r="I4" s="183" t="s">
        <v>4</v>
      </c>
      <c r="J4" s="185"/>
    </row>
    <row r="5" spans="1:10" ht="21.75" customHeight="1">
      <c r="A5" s="49" t="s">
        <v>5</v>
      </c>
      <c r="D5" s="18">
        <v>3992.44</v>
      </c>
      <c r="E5" s="50"/>
      <c r="F5" s="51">
        <v>23461.89</v>
      </c>
      <c r="G5" s="52"/>
      <c r="H5" s="53">
        <v>3866.44</v>
      </c>
      <c r="I5" s="52"/>
      <c r="J5" s="53">
        <f aca="true" t="shared" si="0" ref="J5:J14">D5+F5-H5</f>
        <v>23587.89</v>
      </c>
    </row>
    <row r="6" spans="1:10" ht="21.75" customHeight="1">
      <c r="A6" s="49" t="s">
        <v>6</v>
      </c>
      <c r="D6" s="18">
        <v>373059</v>
      </c>
      <c r="E6" s="52"/>
      <c r="F6" s="48">
        <v>34950</v>
      </c>
      <c r="G6" s="52"/>
      <c r="H6" s="53">
        <v>0</v>
      </c>
      <c r="I6" s="52"/>
      <c r="J6" s="53">
        <f t="shared" si="0"/>
        <v>408009</v>
      </c>
    </row>
    <row r="7" spans="1:10" ht="21.75" customHeight="1">
      <c r="A7" s="49" t="s">
        <v>7</v>
      </c>
      <c r="D7" s="18">
        <v>1970.25</v>
      </c>
      <c r="E7" s="52"/>
      <c r="F7" s="48">
        <v>37.55</v>
      </c>
      <c r="G7" s="52"/>
      <c r="H7" s="53">
        <v>0</v>
      </c>
      <c r="I7" s="52"/>
      <c r="J7" s="53">
        <f t="shared" si="0"/>
        <v>2007.8</v>
      </c>
    </row>
    <row r="8" spans="1:10" ht="21.75" customHeight="1">
      <c r="A8" s="49" t="s">
        <v>8</v>
      </c>
      <c r="D8" s="18">
        <v>2364.3</v>
      </c>
      <c r="E8" s="52"/>
      <c r="F8" s="48">
        <v>45.06</v>
      </c>
      <c r="G8" s="52"/>
      <c r="H8" s="53">
        <v>0</v>
      </c>
      <c r="I8" s="52"/>
      <c r="J8" s="53">
        <f t="shared" si="0"/>
        <v>2409.36</v>
      </c>
    </row>
    <row r="9" spans="1:10" ht="21.75" customHeight="1">
      <c r="A9" s="49" t="s">
        <v>293</v>
      </c>
      <c r="D9" s="18">
        <v>318043.66</v>
      </c>
      <c r="E9" s="52"/>
      <c r="F9" s="48">
        <v>20800</v>
      </c>
      <c r="G9" s="52"/>
      <c r="H9" s="48">
        <v>70000</v>
      </c>
      <c r="I9" s="52"/>
      <c r="J9" s="53">
        <f t="shared" si="0"/>
        <v>268843.66</v>
      </c>
    </row>
    <row r="10" spans="1:10" ht="21.75" customHeight="1">
      <c r="A10" s="49" t="s">
        <v>235</v>
      </c>
      <c r="D10" s="18">
        <v>2432.2</v>
      </c>
      <c r="E10" s="52"/>
      <c r="F10" s="48">
        <v>31</v>
      </c>
      <c r="G10" s="52"/>
      <c r="H10" s="48">
        <v>0</v>
      </c>
      <c r="I10" s="52"/>
      <c r="J10" s="53">
        <f t="shared" si="0"/>
        <v>2463.2</v>
      </c>
    </row>
    <row r="11" spans="1:10" ht="21.75" customHeight="1">
      <c r="A11" s="49" t="s">
        <v>287</v>
      </c>
      <c r="D11" s="18">
        <v>0</v>
      </c>
      <c r="E11" s="52"/>
      <c r="F11" s="48">
        <v>0</v>
      </c>
      <c r="G11" s="52"/>
      <c r="H11" s="48">
        <v>0</v>
      </c>
      <c r="I11" s="52"/>
      <c r="J11" s="53">
        <f t="shared" si="0"/>
        <v>0</v>
      </c>
    </row>
    <row r="12" spans="1:10" ht="21.75" customHeight="1">
      <c r="A12" s="49" t="s">
        <v>232</v>
      </c>
      <c r="D12" s="18">
        <v>7500</v>
      </c>
      <c r="E12" s="52"/>
      <c r="F12" s="48">
        <v>0</v>
      </c>
      <c r="G12" s="52"/>
      <c r="H12" s="48">
        <v>0</v>
      </c>
      <c r="I12" s="52"/>
      <c r="J12" s="53">
        <f t="shared" si="0"/>
        <v>7500</v>
      </c>
    </row>
    <row r="13" spans="1:10" ht="21.75" customHeight="1">
      <c r="A13" s="49" t="s">
        <v>299</v>
      </c>
      <c r="D13" s="18">
        <v>1500</v>
      </c>
      <c r="E13" s="52"/>
      <c r="F13" s="48">
        <v>0</v>
      </c>
      <c r="G13" s="52"/>
      <c r="H13" s="48">
        <v>0</v>
      </c>
      <c r="I13" s="52"/>
      <c r="J13" s="53">
        <f t="shared" si="0"/>
        <v>1500</v>
      </c>
    </row>
    <row r="14" spans="1:10" ht="21.75" customHeight="1">
      <c r="A14" s="49" t="s">
        <v>301</v>
      </c>
      <c r="D14" s="18">
        <v>0</v>
      </c>
      <c r="E14" s="52"/>
      <c r="F14" s="48">
        <v>0</v>
      </c>
      <c r="G14" s="52"/>
      <c r="H14" s="48">
        <v>0</v>
      </c>
      <c r="I14" s="52"/>
      <c r="J14" s="53">
        <f t="shared" si="0"/>
        <v>0</v>
      </c>
    </row>
    <row r="15" spans="3:10" s="6" customFormat="1" ht="21.75" customHeight="1" thickBot="1">
      <c r="C15" s="6" t="s">
        <v>9</v>
      </c>
      <c r="D15" s="54">
        <f>SUM(D5:D14)</f>
        <v>710861.8499999999</v>
      </c>
      <c r="E15" s="55"/>
      <c r="F15" s="56">
        <f>SUM(F5:F14)</f>
        <v>79325.5</v>
      </c>
      <c r="G15" s="55"/>
      <c r="H15" s="57">
        <f>SUM(H5:H14)</f>
        <v>73866.44</v>
      </c>
      <c r="I15" s="55"/>
      <c r="J15" s="57">
        <f>SUM(J5:J11)</f>
        <v>707320.9099999999</v>
      </c>
    </row>
    <row r="16" ht="21.75" customHeight="1" thickTop="1"/>
    <row r="18" spans="1:10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20" spans="2:10" ht="21.75" customHeight="1">
      <c r="B20" s="121" t="s">
        <v>267</v>
      </c>
      <c r="C20" s="6"/>
      <c r="D20" s="6"/>
      <c r="E20" s="6"/>
      <c r="F20" s="6"/>
      <c r="G20" s="6"/>
      <c r="H20" s="6"/>
      <c r="I20" s="73"/>
      <c r="J20" s="72"/>
    </row>
    <row r="21" spans="2:10" ht="21.75" customHeight="1">
      <c r="B21" s="6"/>
      <c r="C21" s="6"/>
      <c r="D21" s="6"/>
      <c r="E21" s="6"/>
      <c r="F21" s="6"/>
      <c r="G21" s="6"/>
      <c r="H21" s="74" t="s">
        <v>10</v>
      </c>
      <c r="I21" s="73"/>
      <c r="J21" s="72"/>
    </row>
    <row r="22" spans="2:10" ht="21.75" customHeight="1">
      <c r="B22" s="6" t="s">
        <v>238</v>
      </c>
      <c r="C22" s="6"/>
      <c r="D22" s="6"/>
      <c r="E22" s="6"/>
      <c r="F22" s="6"/>
      <c r="G22" s="6"/>
      <c r="H22" s="74" t="s">
        <v>169</v>
      </c>
      <c r="I22" s="73"/>
      <c r="J22" s="72"/>
    </row>
    <row r="23" spans="2:10" ht="21.75" customHeight="1">
      <c r="B23" s="6"/>
      <c r="C23" s="6"/>
      <c r="D23" s="6"/>
      <c r="E23" s="6"/>
      <c r="F23" s="6"/>
      <c r="G23" s="6"/>
      <c r="H23" s="75">
        <v>0</v>
      </c>
      <c r="I23" s="73"/>
      <c r="J23" s="72"/>
    </row>
    <row r="24" spans="2:10" ht="21.75" customHeight="1">
      <c r="B24" s="6"/>
      <c r="C24" s="6"/>
      <c r="D24" s="6"/>
      <c r="E24" s="6"/>
      <c r="F24" s="6"/>
      <c r="G24" s="6"/>
      <c r="H24" s="75"/>
      <c r="I24" s="73"/>
      <c r="J24" s="72"/>
    </row>
    <row r="25" spans="2:10" ht="21.75" customHeight="1">
      <c r="B25" s="6"/>
      <c r="C25" s="6"/>
      <c r="D25" s="6"/>
      <c r="E25" s="6"/>
      <c r="F25" s="6"/>
      <c r="G25" s="6"/>
      <c r="H25" s="75"/>
      <c r="I25" s="73"/>
      <c r="J25" s="72"/>
    </row>
    <row r="26" spans="2:10" ht="21.75" customHeight="1" thickBot="1">
      <c r="B26" s="6" t="s">
        <v>234</v>
      </c>
      <c r="C26" s="6"/>
      <c r="D26" s="6"/>
      <c r="E26" s="6"/>
      <c r="F26" s="6"/>
      <c r="G26" s="70">
        <f>SUM(G17:G25)</f>
        <v>0</v>
      </c>
      <c r="H26" s="119">
        <f>SUM(H23:H25)</f>
        <v>0</v>
      </c>
      <c r="I26" s="73"/>
      <c r="J26" s="72"/>
    </row>
    <row r="27" spans="2:10" ht="21.75" customHeight="1" thickTop="1">
      <c r="B27" s="6"/>
      <c r="C27" s="6"/>
      <c r="D27" s="6"/>
      <c r="E27" s="6"/>
      <c r="F27" s="6"/>
      <c r="G27" s="6"/>
      <c r="H27" s="75"/>
      <c r="I27" s="73"/>
      <c r="J27" s="72"/>
    </row>
    <row r="28" spans="2:10" ht="21.75" customHeight="1">
      <c r="B28" s="121" t="s">
        <v>263</v>
      </c>
      <c r="C28" s="6"/>
      <c r="D28" s="6"/>
      <c r="E28" s="6"/>
      <c r="F28" s="6"/>
      <c r="G28" s="6"/>
      <c r="H28" s="75"/>
      <c r="I28" s="73"/>
      <c r="J28" s="72"/>
    </row>
    <row r="29" spans="2:10" ht="21.75" customHeight="1">
      <c r="B29" s="6" t="s">
        <v>238</v>
      </c>
      <c r="C29" s="6"/>
      <c r="D29" s="6"/>
      <c r="E29" s="6"/>
      <c r="F29" s="6"/>
      <c r="G29" s="6"/>
      <c r="H29" s="75"/>
      <c r="I29" s="73"/>
      <c r="J29" s="72"/>
    </row>
    <row r="30" spans="2:10" ht="21.75" customHeight="1">
      <c r="B30" s="6"/>
      <c r="C30" s="6"/>
      <c r="D30" s="6"/>
      <c r="E30" s="6"/>
      <c r="F30" s="6"/>
      <c r="G30" s="6"/>
      <c r="H30" s="75">
        <v>0</v>
      </c>
      <c r="I30" s="73"/>
      <c r="J30" s="72"/>
    </row>
    <row r="31" spans="1:10" ht="21.75" customHeight="1">
      <c r="A31" s="2"/>
      <c r="B31" s="6"/>
      <c r="C31" s="6"/>
      <c r="D31" s="6"/>
      <c r="E31" s="6"/>
      <c r="F31" s="6"/>
      <c r="G31" s="6"/>
      <c r="H31" s="6"/>
      <c r="I31" s="6"/>
      <c r="J31" s="6"/>
    </row>
    <row r="32" spans="1:10" ht="21.75" customHeight="1">
      <c r="A32" s="2"/>
      <c r="B32" s="6"/>
      <c r="C32" s="6"/>
      <c r="D32" s="6"/>
      <c r="E32" s="6"/>
      <c r="F32" s="6"/>
      <c r="G32" s="6"/>
      <c r="H32" s="76"/>
      <c r="I32" s="6"/>
      <c r="J32" s="6"/>
    </row>
    <row r="33" spans="1:10" ht="21.75" customHeight="1">
      <c r="A33" s="2"/>
      <c r="B33" s="6"/>
      <c r="C33" s="6"/>
      <c r="D33" s="6"/>
      <c r="E33" s="6"/>
      <c r="F33" s="6"/>
      <c r="G33" s="6"/>
      <c r="H33" s="75"/>
      <c r="I33" s="6"/>
      <c r="J33" s="6"/>
    </row>
    <row r="34" spans="1:10" s="72" customFormat="1" ht="21.75" customHeight="1" thickBot="1">
      <c r="A34" s="6"/>
      <c r="B34" s="6"/>
      <c r="C34" s="6" t="s">
        <v>264</v>
      </c>
      <c r="D34" s="6"/>
      <c r="E34" s="6"/>
      <c r="F34" s="6"/>
      <c r="G34" s="6"/>
      <c r="H34" s="70">
        <f>SUM(H30:H33)</f>
        <v>0</v>
      </c>
      <c r="I34" s="71"/>
      <c r="J34" s="6"/>
    </row>
    <row r="35" spans="1:10" s="72" customFormat="1" ht="21.75" customHeight="1" thickTop="1">
      <c r="A35" s="6"/>
      <c r="B35" s="6"/>
      <c r="C35" s="6"/>
      <c r="D35" s="6"/>
      <c r="E35" s="6"/>
      <c r="F35" s="6"/>
      <c r="G35" s="6"/>
      <c r="H35" s="77"/>
      <c r="I35" s="3"/>
      <c r="J35" s="6"/>
    </row>
    <row r="36" spans="1:10" s="72" customFormat="1" ht="21.75" customHeight="1">
      <c r="A36" s="6"/>
      <c r="B36" s="6"/>
      <c r="C36" s="6"/>
      <c r="D36" s="6"/>
      <c r="E36" s="6"/>
      <c r="F36" s="6"/>
      <c r="G36" s="6"/>
      <c r="H36" s="77"/>
      <c r="I36" s="3"/>
      <c r="J36" s="6"/>
    </row>
    <row r="37" spans="1:11" s="72" customFormat="1" ht="21.75" customHeight="1">
      <c r="A37" s="166" t="s">
        <v>241</v>
      </c>
      <c r="B37" s="166"/>
      <c r="C37" s="166"/>
      <c r="D37" s="166" t="s">
        <v>242</v>
      </c>
      <c r="E37" s="166"/>
      <c r="F37" s="166"/>
      <c r="G37" s="6"/>
      <c r="H37" s="166" t="s">
        <v>290</v>
      </c>
      <c r="I37" s="166"/>
      <c r="J37" s="166"/>
      <c r="K37" s="101"/>
    </row>
    <row r="38" spans="1:11" s="72" customFormat="1" ht="21.75" customHeight="1">
      <c r="A38" s="166" t="s">
        <v>11</v>
      </c>
      <c r="B38" s="166"/>
      <c r="C38" s="166"/>
      <c r="D38" s="166" t="s">
        <v>12</v>
      </c>
      <c r="E38" s="166"/>
      <c r="F38" s="166"/>
      <c r="G38" s="166"/>
      <c r="H38" s="166" t="s">
        <v>291</v>
      </c>
      <c r="I38" s="166"/>
      <c r="J38" s="166"/>
      <c r="K38" s="101"/>
    </row>
    <row r="39" spans="1:11" s="72" customFormat="1" ht="21.75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</row>
    <row r="40" spans="1:10" s="72" customFormat="1" ht="21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s="72" customFormat="1" ht="21.7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s="72" customFormat="1" ht="21.75" customHeight="1">
      <c r="A42" s="60"/>
      <c r="B42" s="60"/>
      <c r="C42" s="60"/>
      <c r="D42" s="166"/>
      <c r="E42" s="166"/>
      <c r="F42" s="166"/>
      <c r="G42" s="6"/>
      <c r="H42" s="60"/>
      <c r="I42" s="60"/>
      <c r="J42" s="60"/>
    </row>
    <row r="43" spans="1:10" ht="21.75" customHeight="1">
      <c r="A43" s="174" t="s">
        <v>245</v>
      </c>
      <c r="B43" s="174"/>
      <c r="C43" s="174"/>
      <c r="D43" s="174"/>
      <c r="E43" s="175"/>
      <c r="F43" s="176" t="s">
        <v>259</v>
      </c>
      <c r="G43" s="174"/>
      <c r="H43" s="174"/>
      <c r="I43" s="174"/>
      <c r="J43" s="174"/>
    </row>
    <row r="44" spans="1:10" ht="21.75" customHeight="1">
      <c r="A44" s="6"/>
      <c r="B44" s="6"/>
      <c r="C44" s="6"/>
      <c r="D44" s="6"/>
      <c r="E44" s="61"/>
      <c r="F44" s="6"/>
      <c r="G44" s="6"/>
      <c r="H44" s="6"/>
      <c r="I44" s="6"/>
      <c r="J44" s="6"/>
    </row>
    <row r="45" spans="1:10" ht="21.75" customHeight="1">
      <c r="A45" s="177" t="s">
        <v>13</v>
      </c>
      <c r="B45" s="178"/>
      <c r="C45" s="178"/>
      <c r="D45" s="178"/>
      <c r="E45" s="179"/>
      <c r="F45" s="6" t="s">
        <v>258</v>
      </c>
      <c r="G45" s="6"/>
      <c r="H45" s="6"/>
      <c r="I45" s="6"/>
      <c r="J45" s="6"/>
    </row>
    <row r="46" spans="1:10" ht="21.75" customHeight="1">
      <c r="A46" s="4"/>
      <c r="B46" s="4"/>
      <c r="C46" s="4"/>
      <c r="D46" s="4"/>
      <c r="E46" s="62"/>
      <c r="F46" s="4"/>
      <c r="G46" s="4"/>
      <c r="H46" s="4"/>
      <c r="I46" s="4"/>
      <c r="J46" s="4"/>
    </row>
    <row r="47" spans="1:10" ht="21.75" customHeight="1">
      <c r="A47" s="6"/>
      <c r="B47" s="6"/>
      <c r="C47" s="6"/>
      <c r="D47" s="6"/>
      <c r="E47" s="63"/>
      <c r="F47" s="64"/>
      <c r="G47" s="6"/>
      <c r="H47" s="167" t="s">
        <v>14</v>
      </c>
      <c r="I47" s="167"/>
      <c r="J47" s="6"/>
    </row>
    <row r="48" spans="1:10" ht="21.75" customHeight="1">
      <c r="A48" s="6" t="s">
        <v>307</v>
      </c>
      <c r="B48" s="6"/>
      <c r="C48" s="6"/>
      <c r="D48" s="6"/>
      <c r="E48" s="3"/>
      <c r="F48" s="53">
        <v>2663934.44</v>
      </c>
      <c r="G48" s="6"/>
      <c r="H48" s="6"/>
      <c r="I48" s="6"/>
      <c r="J48" s="6"/>
    </row>
    <row r="49" spans="1:10" ht="21.75" customHeight="1">
      <c r="A49" s="6" t="s">
        <v>15</v>
      </c>
      <c r="B49" s="6"/>
      <c r="C49" s="6"/>
      <c r="D49" s="6"/>
      <c r="E49" s="3"/>
      <c r="F49" s="61"/>
      <c r="G49" s="6"/>
      <c r="H49" s="6"/>
      <c r="I49" s="6"/>
      <c r="J49" s="6"/>
    </row>
    <row r="50" spans="1:10" ht="21.75" customHeight="1">
      <c r="A50" s="170" t="s">
        <v>16</v>
      </c>
      <c r="B50" s="170"/>
      <c r="C50" s="170" t="s">
        <v>17</v>
      </c>
      <c r="D50" s="170"/>
      <c r="E50" s="171" t="s">
        <v>10</v>
      </c>
      <c r="F50" s="172"/>
      <c r="G50" s="6"/>
      <c r="H50" s="6"/>
      <c r="I50" s="6"/>
      <c r="J50" s="6"/>
    </row>
    <row r="51" spans="1:10" ht="21.75" customHeight="1">
      <c r="A51" s="6"/>
      <c r="B51" s="6"/>
      <c r="C51" s="6"/>
      <c r="D51" s="6"/>
      <c r="E51" s="3"/>
      <c r="F51" s="61"/>
      <c r="G51" s="6"/>
      <c r="H51" s="6"/>
      <c r="I51" s="6"/>
      <c r="J51" s="6"/>
    </row>
    <row r="52" spans="1:10" ht="21.75" customHeight="1">
      <c r="A52" s="6" t="s">
        <v>18</v>
      </c>
      <c r="B52" s="6"/>
      <c r="C52" s="6" t="s">
        <v>18</v>
      </c>
      <c r="D52" s="6"/>
      <c r="E52" s="3"/>
      <c r="F52" s="61"/>
      <c r="G52" s="6"/>
      <c r="H52" s="6"/>
      <c r="I52" s="6"/>
      <c r="J52" s="6"/>
    </row>
    <row r="53" spans="1:10" ht="21.75" customHeight="1">
      <c r="A53" s="6" t="s">
        <v>18</v>
      </c>
      <c r="B53" s="6"/>
      <c r="C53" s="6" t="s">
        <v>18</v>
      </c>
      <c r="D53" s="6"/>
      <c r="E53" s="3"/>
      <c r="F53" s="61"/>
      <c r="G53" s="6"/>
      <c r="H53" s="6"/>
      <c r="I53" s="6"/>
      <c r="J53" s="6"/>
    </row>
    <row r="54" spans="1:10" ht="21.75" customHeight="1">
      <c r="A54" s="6" t="s">
        <v>19</v>
      </c>
      <c r="B54" s="6"/>
      <c r="C54" s="6"/>
      <c r="D54" s="6"/>
      <c r="E54" s="3"/>
      <c r="F54" s="61"/>
      <c r="G54" s="6"/>
      <c r="H54" s="6"/>
      <c r="I54" s="6"/>
      <c r="J54" s="6"/>
    </row>
    <row r="55" spans="1:10" ht="21.75" customHeight="1">
      <c r="A55" s="170" t="s">
        <v>20</v>
      </c>
      <c r="B55" s="170"/>
      <c r="C55" s="170" t="s">
        <v>21</v>
      </c>
      <c r="D55" s="170"/>
      <c r="E55" s="171" t="s">
        <v>10</v>
      </c>
      <c r="F55" s="172"/>
      <c r="G55" s="6"/>
      <c r="H55" s="6"/>
      <c r="I55" s="6"/>
      <c r="J55" s="6"/>
    </row>
    <row r="56" spans="1:10" ht="21.75" customHeight="1">
      <c r="A56" s="173"/>
      <c r="B56" s="173"/>
      <c r="C56" s="60"/>
      <c r="D56" s="60"/>
      <c r="E56" s="42"/>
      <c r="F56" s="65"/>
      <c r="G56" s="6"/>
      <c r="H56" s="6"/>
      <c r="I56" s="6"/>
      <c r="J56" s="6"/>
    </row>
    <row r="57" spans="1:10" ht="21.75" customHeight="1">
      <c r="A57" s="101"/>
      <c r="B57" s="101"/>
      <c r="C57" s="78"/>
      <c r="D57" s="6"/>
      <c r="E57" s="3"/>
      <c r="F57" s="53"/>
      <c r="G57" s="6"/>
      <c r="H57" s="6"/>
      <c r="I57" s="6"/>
      <c r="J57" s="6"/>
    </row>
    <row r="58" spans="1:10" ht="21.75" customHeight="1">
      <c r="A58" s="101"/>
      <c r="B58" s="101"/>
      <c r="C58" s="78"/>
      <c r="D58" s="6"/>
      <c r="E58" s="3"/>
      <c r="F58" s="53"/>
      <c r="G58" s="6"/>
      <c r="H58" s="6"/>
      <c r="I58" s="6"/>
      <c r="J58" s="6"/>
    </row>
    <row r="59" spans="1:10" ht="21.75" customHeight="1">
      <c r="A59" s="101"/>
      <c r="B59" s="101"/>
      <c r="C59" s="78"/>
      <c r="D59" s="6"/>
      <c r="E59" s="3"/>
      <c r="F59" s="53"/>
      <c r="G59" s="6"/>
      <c r="H59" s="6"/>
      <c r="I59" s="6"/>
      <c r="J59" s="6"/>
    </row>
    <row r="60" spans="1:10" ht="21.75" customHeight="1">
      <c r="A60" s="101"/>
      <c r="B60" s="101"/>
      <c r="C60" s="78"/>
      <c r="D60" s="6"/>
      <c r="E60" s="3"/>
      <c r="F60" s="53"/>
      <c r="G60" s="6"/>
      <c r="H60" s="6"/>
      <c r="I60" s="6"/>
      <c r="J60" s="6"/>
    </row>
    <row r="61" spans="1:10" ht="21.75" customHeight="1">
      <c r="A61" s="101"/>
      <c r="B61" s="101"/>
      <c r="C61" s="78"/>
      <c r="D61" s="6"/>
      <c r="E61" s="3"/>
      <c r="F61" s="53"/>
      <c r="G61" s="6"/>
      <c r="H61" s="6"/>
      <c r="I61" s="6"/>
      <c r="J61" s="6"/>
    </row>
    <row r="62" spans="1:10" ht="21.75" customHeight="1">
      <c r="A62" s="101"/>
      <c r="B62" s="101"/>
      <c r="C62" s="78"/>
      <c r="D62" s="6"/>
      <c r="E62" s="3"/>
      <c r="F62" s="53"/>
      <c r="G62" s="6"/>
      <c r="H62" s="6"/>
      <c r="I62" s="6"/>
      <c r="J62" s="6"/>
    </row>
    <row r="63" spans="1:10" ht="21.75" customHeight="1">
      <c r="A63" s="101"/>
      <c r="B63" s="101"/>
      <c r="C63" s="78"/>
      <c r="D63" s="6"/>
      <c r="E63" s="3"/>
      <c r="F63" s="53"/>
      <c r="G63" s="6"/>
      <c r="H63" s="6"/>
      <c r="I63" s="6"/>
      <c r="J63" s="6"/>
    </row>
    <row r="64" spans="1:10" ht="21.75" customHeight="1">
      <c r="A64" s="101"/>
      <c r="B64" s="101"/>
      <c r="C64" s="78"/>
      <c r="D64" s="6"/>
      <c r="E64" s="3"/>
      <c r="F64" s="53"/>
      <c r="G64" s="6"/>
      <c r="H64" s="59"/>
      <c r="I64" s="6"/>
      <c r="J64" s="6"/>
    </row>
    <row r="65" spans="1:10" ht="21.75" customHeight="1" thickBot="1">
      <c r="A65" s="168"/>
      <c r="B65" s="166"/>
      <c r="C65" s="66"/>
      <c r="D65" s="6"/>
      <c r="E65" s="3"/>
      <c r="F65" s="57">
        <f>SUM(F56:F64)</f>
        <v>0</v>
      </c>
      <c r="G65" s="6"/>
      <c r="H65" s="6"/>
      <c r="I65" s="6"/>
      <c r="J65" s="6"/>
    </row>
    <row r="66" spans="1:10" ht="21.75" customHeight="1" thickTop="1">
      <c r="A66" s="6" t="s">
        <v>22</v>
      </c>
      <c r="B66" s="6"/>
      <c r="C66" s="6"/>
      <c r="D66" s="6"/>
      <c r="E66" s="3"/>
      <c r="F66" s="67"/>
      <c r="G66" s="6"/>
      <c r="H66" s="59"/>
      <c r="I66" s="6"/>
      <c r="J66" s="6"/>
    </row>
    <row r="67" spans="1:10" ht="21.75" customHeight="1">
      <c r="A67" s="68" t="s">
        <v>23</v>
      </c>
      <c r="B67" s="6"/>
      <c r="C67" s="6"/>
      <c r="D67" s="6"/>
      <c r="E67" s="3"/>
      <c r="F67" s="61"/>
      <c r="G67" s="6"/>
      <c r="H67" s="6"/>
      <c r="I67" s="6"/>
      <c r="J67" s="6"/>
    </row>
    <row r="68" spans="1:10" ht="21.75" customHeight="1">
      <c r="A68" s="6" t="s">
        <v>18</v>
      </c>
      <c r="B68" s="6"/>
      <c r="C68" s="6" t="s">
        <v>18</v>
      </c>
      <c r="D68" s="6"/>
      <c r="E68" s="3"/>
      <c r="F68" s="61"/>
      <c r="G68" s="6"/>
      <c r="H68" s="59"/>
      <c r="I68" s="6"/>
      <c r="J68" s="6"/>
    </row>
    <row r="69" spans="1:10" ht="21.75" customHeight="1">
      <c r="A69" s="4" t="s">
        <v>319</v>
      </c>
      <c r="B69" s="4"/>
      <c r="C69" s="4"/>
      <c r="D69" s="4"/>
      <c r="E69" s="4"/>
      <c r="F69" s="69">
        <f>SUM(F48-F65)</f>
        <v>2663934.44</v>
      </c>
      <c r="G69" s="4"/>
      <c r="H69" s="4"/>
      <c r="I69" s="4"/>
      <c r="J69" s="4"/>
    </row>
    <row r="70" spans="1:10" ht="21.75" customHeight="1">
      <c r="A70" s="6" t="s">
        <v>24</v>
      </c>
      <c r="B70" s="6"/>
      <c r="C70" s="6"/>
      <c r="D70" s="6"/>
      <c r="E70" s="64"/>
      <c r="F70" s="6" t="s">
        <v>25</v>
      </c>
      <c r="G70" s="6"/>
      <c r="H70" s="6"/>
      <c r="I70" s="6"/>
      <c r="J70" s="6"/>
    </row>
    <row r="71" spans="1:10" ht="21.75" customHeight="1">
      <c r="A71" s="6"/>
      <c r="B71" s="6"/>
      <c r="C71" s="6"/>
      <c r="D71" s="6"/>
      <c r="E71" s="61"/>
      <c r="F71" s="6"/>
      <c r="G71" s="6"/>
      <c r="H71" s="6"/>
      <c r="I71" s="6"/>
      <c r="J71" s="6"/>
    </row>
    <row r="72" spans="1:10" ht="21.75" customHeight="1">
      <c r="A72" s="6" t="s">
        <v>310</v>
      </c>
      <c r="B72" s="6"/>
      <c r="C72" s="6"/>
      <c r="D72" s="6"/>
      <c r="E72" s="61"/>
      <c r="F72" s="6" t="s">
        <v>311</v>
      </c>
      <c r="G72" s="6"/>
      <c r="H72" s="6"/>
      <c r="I72" s="6"/>
      <c r="J72" s="6"/>
    </row>
    <row r="73" spans="1:10" ht="21.75" customHeight="1">
      <c r="A73" s="3" t="s">
        <v>261</v>
      </c>
      <c r="B73" s="6"/>
      <c r="C73" s="6"/>
      <c r="D73" s="6"/>
      <c r="E73" s="61"/>
      <c r="F73" s="6" t="s">
        <v>269</v>
      </c>
      <c r="G73" s="6"/>
      <c r="H73" s="6"/>
      <c r="I73" s="6"/>
      <c r="J73" s="6"/>
    </row>
    <row r="74" spans="1:10" ht="21.75" customHeight="1">
      <c r="A74" s="4"/>
      <c r="B74" s="4"/>
      <c r="C74" s="4"/>
      <c r="D74" s="4"/>
      <c r="E74" s="62"/>
      <c r="F74" s="4"/>
      <c r="G74" s="4"/>
      <c r="H74" s="4"/>
      <c r="I74" s="4"/>
      <c r="J74" s="4"/>
    </row>
    <row r="75" spans="1:10" ht="21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21.7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21.75" customHeight="1">
      <c r="A77" s="166" t="s">
        <v>241</v>
      </c>
      <c r="B77" s="166"/>
      <c r="C77" s="166"/>
      <c r="D77" s="166" t="s">
        <v>242</v>
      </c>
      <c r="E77" s="166"/>
      <c r="F77" s="166"/>
      <c r="G77" s="6"/>
      <c r="H77" s="166" t="s">
        <v>290</v>
      </c>
      <c r="I77" s="166"/>
      <c r="J77" s="166"/>
    </row>
    <row r="78" spans="1:10" ht="21.75" customHeight="1">
      <c r="A78" s="166" t="s">
        <v>11</v>
      </c>
      <c r="B78" s="166"/>
      <c r="C78" s="166"/>
      <c r="D78" s="166" t="s">
        <v>12</v>
      </c>
      <c r="E78" s="166"/>
      <c r="F78" s="166"/>
      <c r="G78" s="166"/>
      <c r="H78" s="166" t="s">
        <v>291</v>
      </c>
      <c r="I78" s="166"/>
      <c r="J78" s="166"/>
    </row>
    <row r="79" spans="1:10" ht="21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21.75" customHeight="1">
      <c r="A80" s="174" t="s">
        <v>245</v>
      </c>
      <c r="B80" s="174"/>
      <c r="C80" s="174"/>
      <c r="D80" s="174"/>
      <c r="E80" s="175"/>
      <c r="F80" s="176" t="s">
        <v>260</v>
      </c>
      <c r="G80" s="174"/>
      <c r="H80" s="174"/>
      <c r="I80" s="174"/>
      <c r="J80" s="174"/>
    </row>
    <row r="81" spans="1:10" ht="21.75" customHeight="1">
      <c r="A81" s="6"/>
      <c r="B81" s="6"/>
      <c r="C81" s="6"/>
      <c r="D81" s="6"/>
      <c r="E81" s="61"/>
      <c r="F81" s="6"/>
      <c r="G81" s="6"/>
      <c r="H81" s="6"/>
      <c r="I81" s="6"/>
      <c r="J81" s="6"/>
    </row>
    <row r="82" spans="1:10" ht="21.75" customHeight="1">
      <c r="A82" s="177" t="s">
        <v>13</v>
      </c>
      <c r="B82" s="178"/>
      <c r="C82" s="178"/>
      <c r="D82" s="178"/>
      <c r="E82" s="179"/>
      <c r="F82" s="6" t="s">
        <v>268</v>
      </c>
      <c r="G82" s="6"/>
      <c r="H82" s="6"/>
      <c r="I82" s="6"/>
      <c r="J82" s="6"/>
    </row>
    <row r="83" spans="1:10" ht="21.75" customHeight="1">
      <c r="A83" s="4"/>
      <c r="B83" s="4"/>
      <c r="C83" s="4"/>
      <c r="D83" s="4"/>
      <c r="E83" s="62"/>
      <c r="F83" s="4"/>
      <c r="G83" s="4"/>
      <c r="H83" s="4"/>
      <c r="I83" s="4"/>
      <c r="J83" s="4"/>
    </row>
    <row r="84" spans="1:10" ht="21.75" customHeight="1">
      <c r="A84" s="6"/>
      <c r="B84" s="6"/>
      <c r="C84" s="6"/>
      <c r="D84" s="6"/>
      <c r="E84" s="63"/>
      <c r="F84" s="64"/>
      <c r="G84" s="6"/>
      <c r="H84" s="167" t="s">
        <v>14</v>
      </c>
      <c r="I84" s="167"/>
      <c r="J84" s="6"/>
    </row>
    <row r="85" spans="1:10" ht="21.75" customHeight="1">
      <c r="A85" s="6" t="s">
        <v>307</v>
      </c>
      <c r="B85" s="6"/>
      <c r="C85" s="6"/>
      <c r="D85" s="6"/>
      <c r="E85" s="3"/>
      <c r="F85" s="53">
        <v>8288639.73</v>
      </c>
      <c r="G85" s="6"/>
      <c r="H85" s="6"/>
      <c r="I85" s="6"/>
      <c r="J85" s="6"/>
    </row>
    <row r="86" spans="1:10" ht="21.75" customHeight="1">
      <c r="A86" s="6" t="s">
        <v>15</v>
      </c>
      <c r="B86" s="6"/>
      <c r="C86" s="6"/>
      <c r="D86" s="6"/>
      <c r="E86" s="3"/>
      <c r="F86" s="61"/>
      <c r="G86" s="6"/>
      <c r="H86" s="6"/>
      <c r="I86" s="6"/>
      <c r="J86" s="6"/>
    </row>
    <row r="87" spans="1:10" ht="21.75" customHeight="1">
      <c r="A87" s="170" t="s">
        <v>16</v>
      </c>
      <c r="B87" s="170"/>
      <c r="C87" s="170" t="s">
        <v>17</v>
      </c>
      <c r="D87" s="170"/>
      <c r="E87" s="171" t="s">
        <v>10</v>
      </c>
      <c r="F87" s="172"/>
      <c r="G87" s="6"/>
      <c r="H87" s="6"/>
      <c r="I87" s="6"/>
      <c r="J87" s="6"/>
    </row>
    <row r="88" spans="1:10" ht="21.75" customHeight="1">
      <c r="A88" s="6"/>
      <c r="B88" s="6"/>
      <c r="C88" s="6"/>
      <c r="D88" s="6"/>
      <c r="E88" s="3"/>
      <c r="F88" s="61"/>
      <c r="G88" s="6"/>
      <c r="H88" s="6"/>
      <c r="I88" s="6"/>
      <c r="J88" s="6"/>
    </row>
    <row r="89" spans="1:10" ht="21.75" customHeight="1">
      <c r="A89" s="6" t="s">
        <v>18</v>
      </c>
      <c r="B89" s="6"/>
      <c r="C89" s="6" t="s">
        <v>18</v>
      </c>
      <c r="D89" s="6"/>
      <c r="E89" s="3"/>
      <c r="F89" s="61"/>
      <c r="G89" s="6"/>
      <c r="H89" s="6"/>
      <c r="I89" s="6"/>
      <c r="J89" s="6"/>
    </row>
    <row r="90" spans="1:10" ht="21.75" customHeight="1">
      <c r="A90" s="6" t="s">
        <v>18</v>
      </c>
      <c r="B90" s="6"/>
      <c r="C90" s="6" t="s">
        <v>18</v>
      </c>
      <c r="D90" s="6"/>
      <c r="E90" s="3"/>
      <c r="F90" s="61"/>
      <c r="G90" s="6"/>
      <c r="H90" s="6"/>
      <c r="I90" s="6"/>
      <c r="J90" s="6"/>
    </row>
    <row r="91" spans="1:10" ht="21.75" customHeight="1" thickBot="1">
      <c r="A91" s="6"/>
      <c r="B91" s="6"/>
      <c r="C91" s="6"/>
      <c r="D91" s="6"/>
      <c r="E91" s="3"/>
      <c r="F91" s="99">
        <f>SUM(F89:F90)</f>
        <v>0</v>
      </c>
      <c r="G91" s="6"/>
      <c r="H91" s="6"/>
      <c r="I91" s="6"/>
      <c r="J91" s="6"/>
    </row>
    <row r="92" spans="1:10" ht="21.75" customHeight="1" thickTop="1">
      <c r="A92" s="6" t="s">
        <v>19</v>
      </c>
      <c r="B92" s="6"/>
      <c r="C92" s="6"/>
      <c r="D92" s="6"/>
      <c r="E92" s="3"/>
      <c r="F92" s="61"/>
      <c r="G92" s="6"/>
      <c r="H92" s="6"/>
      <c r="I92" s="6"/>
      <c r="J92" s="6"/>
    </row>
    <row r="93" spans="1:10" ht="21.75" customHeight="1">
      <c r="A93" s="170" t="s">
        <v>20</v>
      </c>
      <c r="B93" s="170"/>
      <c r="C93" s="170" t="s">
        <v>21</v>
      </c>
      <c r="D93" s="170"/>
      <c r="E93" s="171" t="s">
        <v>10</v>
      </c>
      <c r="F93" s="172"/>
      <c r="G93" s="6"/>
      <c r="H93" s="6"/>
      <c r="I93" s="6"/>
      <c r="J93" s="6"/>
    </row>
    <row r="94" spans="1:10" ht="21.75" customHeight="1">
      <c r="A94" s="168" t="s">
        <v>303</v>
      </c>
      <c r="B94" s="166"/>
      <c r="C94" s="122">
        <v>68767</v>
      </c>
      <c r="D94" s="6"/>
      <c r="E94" s="3"/>
      <c r="F94" s="53">
        <v>13860</v>
      </c>
      <c r="G94" s="6"/>
      <c r="H94" s="6"/>
      <c r="I94" s="6"/>
      <c r="J94" s="6"/>
    </row>
    <row r="95" spans="1:10" ht="21.75" customHeight="1">
      <c r="A95" s="168" t="s">
        <v>308</v>
      </c>
      <c r="B95" s="166"/>
      <c r="C95" s="122">
        <v>73507</v>
      </c>
      <c r="D95" s="6"/>
      <c r="E95" s="3"/>
      <c r="F95" s="53">
        <v>2970</v>
      </c>
      <c r="G95" s="6"/>
      <c r="H95" s="6"/>
      <c r="I95" s="6"/>
      <c r="J95" s="6"/>
    </row>
    <row r="96" spans="1:10" ht="21.75" customHeight="1">
      <c r="A96" s="168"/>
      <c r="B96" s="166"/>
      <c r="C96" s="122"/>
      <c r="D96" s="6"/>
      <c r="E96" s="3"/>
      <c r="F96" s="53"/>
      <c r="G96" s="6"/>
      <c r="H96" s="6"/>
      <c r="I96" s="6"/>
      <c r="J96" s="6"/>
    </row>
    <row r="97" spans="1:10" ht="21.75" customHeight="1">
      <c r="A97" s="168"/>
      <c r="B97" s="166"/>
      <c r="C97" s="122"/>
      <c r="D97" s="6"/>
      <c r="E97" s="3"/>
      <c r="F97" s="53"/>
      <c r="G97" s="6"/>
      <c r="H97" s="6"/>
      <c r="I97" s="6"/>
      <c r="J97" s="6"/>
    </row>
    <row r="98" spans="1:10" ht="21.75" customHeight="1">
      <c r="A98" s="168"/>
      <c r="B98" s="166"/>
      <c r="C98" s="78"/>
      <c r="D98" s="6"/>
      <c r="E98" s="3"/>
      <c r="F98" s="53"/>
      <c r="G98" s="6"/>
      <c r="H98" s="6"/>
      <c r="I98" s="6"/>
      <c r="J98" s="6"/>
    </row>
    <row r="99" spans="1:10" ht="21.75" customHeight="1">
      <c r="A99" s="168"/>
      <c r="B99" s="166"/>
      <c r="C99" s="122"/>
      <c r="D99" s="6"/>
      <c r="E99" s="3"/>
      <c r="F99" s="53"/>
      <c r="G99" s="6"/>
      <c r="H99" s="6"/>
      <c r="I99" s="6"/>
      <c r="J99" s="6"/>
    </row>
    <row r="100" spans="1:10" ht="21.75" customHeight="1">
      <c r="A100" s="168"/>
      <c r="B100" s="166"/>
      <c r="C100" s="78"/>
      <c r="D100" s="6"/>
      <c r="E100" s="3"/>
      <c r="F100" s="53"/>
      <c r="G100" s="6"/>
      <c r="H100" s="6"/>
      <c r="I100" s="6"/>
      <c r="J100" s="6"/>
    </row>
    <row r="101" spans="1:10" ht="21.75" customHeight="1">
      <c r="A101" s="168"/>
      <c r="B101" s="166"/>
      <c r="C101" s="78"/>
      <c r="D101" s="6"/>
      <c r="E101" s="3"/>
      <c r="F101" s="53"/>
      <c r="G101" s="6"/>
      <c r="H101" s="6"/>
      <c r="I101" s="6"/>
      <c r="J101" s="6"/>
    </row>
    <row r="102" spans="1:10" ht="21.75" customHeight="1">
      <c r="A102" s="168"/>
      <c r="B102" s="166"/>
      <c r="C102" s="122"/>
      <c r="D102" s="6"/>
      <c r="E102" s="3"/>
      <c r="F102" s="53"/>
      <c r="G102" s="6"/>
      <c r="H102" s="6"/>
      <c r="I102" s="6"/>
      <c r="J102" s="6"/>
    </row>
    <row r="103" spans="1:10" ht="21.75" customHeight="1">
      <c r="A103" s="168"/>
      <c r="B103" s="166"/>
      <c r="C103" s="122"/>
      <c r="D103" s="6"/>
      <c r="E103" s="3"/>
      <c r="F103" s="53"/>
      <c r="G103" s="6"/>
      <c r="H103" s="6"/>
      <c r="I103" s="6"/>
      <c r="J103" s="6"/>
    </row>
    <row r="104" spans="1:10" ht="21.75" customHeight="1">
      <c r="A104" s="168"/>
      <c r="B104" s="166"/>
      <c r="C104" s="122"/>
      <c r="D104" s="6"/>
      <c r="E104" s="3"/>
      <c r="F104" s="53"/>
      <c r="G104" s="6"/>
      <c r="H104" s="6"/>
      <c r="I104" s="6"/>
      <c r="J104" s="6"/>
    </row>
    <row r="105" spans="1:10" ht="21.75" customHeight="1" thickBot="1">
      <c r="A105" s="168"/>
      <c r="B105" s="166"/>
      <c r="C105" s="66"/>
      <c r="D105" s="6"/>
      <c r="E105" s="3"/>
      <c r="F105" s="57">
        <f>SUM(F94:F104)</f>
        <v>16830</v>
      </c>
      <c r="G105" s="6"/>
      <c r="H105" s="6"/>
      <c r="I105" s="6"/>
      <c r="J105" s="6"/>
    </row>
    <row r="106" spans="1:10" ht="21.75" customHeight="1" thickTop="1">
      <c r="A106" s="6" t="s">
        <v>22</v>
      </c>
      <c r="B106" s="6"/>
      <c r="C106" s="6"/>
      <c r="D106" s="6"/>
      <c r="E106" s="3"/>
      <c r="F106" s="67"/>
      <c r="G106" s="6"/>
      <c r="H106" s="59"/>
      <c r="I106" s="6"/>
      <c r="J106" s="6"/>
    </row>
    <row r="107" spans="1:10" ht="21.75" customHeight="1">
      <c r="A107" s="68" t="s">
        <v>23</v>
      </c>
      <c r="B107" s="6"/>
      <c r="C107" s="6"/>
      <c r="D107" s="6"/>
      <c r="E107" s="3"/>
      <c r="F107" s="61"/>
      <c r="G107" s="6"/>
      <c r="H107" s="6"/>
      <c r="I107" s="6"/>
      <c r="J107" s="6"/>
    </row>
    <row r="108" spans="1:10" ht="21.75" customHeight="1">
      <c r="A108" s="6" t="s">
        <v>18</v>
      </c>
      <c r="B108" s="6"/>
      <c r="C108" s="6" t="s">
        <v>18</v>
      </c>
      <c r="D108" s="6"/>
      <c r="E108" s="3"/>
      <c r="F108" s="61"/>
      <c r="G108" s="6"/>
      <c r="H108" s="6"/>
      <c r="I108" s="6"/>
      <c r="J108" s="6"/>
    </row>
    <row r="109" spans="1:10" ht="24" customHeight="1">
      <c r="A109" s="4" t="s">
        <v>309</v>
      </c>
      <c r="B109" s="4"/>
      <c r="C109" s="4"/>
      <c r="D109" s="4"/>
      <c r="E109" s="4"/>
      <c r="F109" s="69">
        <f>SUM(F85+F91-F105)</f>
        <v>8271809.73</v>
      </c>
      <c r="G109" s="4"/>
      <c r="H109" s="4"/>
      <c r="I109" s="4"/>
      <c r="J109" s="4"/>
    </row>
    <row r="110" spans="1:10" ht="21.75" customHeight="1">
      <c r="A110" s="6" t="s">
        <v>24</v>
      </c>
      <c r="B110" s="6"/>
      <c r="C110" s="6"/>
      <c r="D110" s="6"/>
      <c r="E110" s="64"/>
      <c r="F110" s="6" t="s">
        <v>25</v>
      </c>
      <c r="G110" s="6"/>
      <c r="H110" s="6"/>
      <c r="I110" s="6"/>
      <c r="J110" s="6"/>
    </row>
    <row r="111" spans="1:10" ht="21.75" customHeight="1">
      <c r="A111" s="6"/>
      <c r="B111" s="6"/>
      <c r="C111" s="6"/>
      <c r="D111" s="6"/>
      <c r="E111" s="61"/>
      <c r="F111" s="6"/>
      <c r="G111" s="6"/>
      <c r="H111" s="6"/>
      <c r="I111" s="6"/>
      <c r="J111" s="6"/>
    </row>
    <row r="112" spans="1:10" ht="21.75" customHeight="1">
      <c r="A112" s="6" t="s">
        <v>310</v>
      </c>
      <c r="B112" s="6"/>
      <c r="C112" s="6"/>
      <c r="D112" s="6"/>
      <c r="E112" s="61"/>
      <c r="F112" s="6" t="s">
        <v>311</v>
      </c>
      <c r="G112" s="6"/>
      <c r="H112" s="6"/>
      <c r="I112" s="6"/>
      <c r="J112" s="6"/>
    </row>
    <row r="113" spans="1:10" ht="21.75" customHeight="1">
      <c r="A113" s="3" t="s">
        <v>261</v>
      </c>
      <c r="B113" s="6"/>
      <c r="C113" s="6"/>
      <c r="D113" s="6"/>
      <c r="E113" s="61"/>
      <c r="F113" s="6" t="s">
        <v>269</v>
      </c>
      <c r="G113" s="6"/>
      <c r="H113" s="6"/>
      <c r="I113" s="6"/>
      <c r="J113" s="6"/>
    </row>
    <row r="114" spans="1:10" ht="21.75" customHeight="1">
      <c r="A114" s="4"/>
      <c r="B114" s="4"/>
      <c r="C114" s="4"/>
      <c r="D114" s="4"/>
      <c r="E114" s="62"/>
      <c r="F114" s="4"/>
      <c r="G114" s="4"/>
      <c r="H114" s="4"/>
      <c r="I114" s="4"/>
      <c r="J114" s="4"/>
    </row>
    <row r="115" spans="1:10" ht="21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1" ht="21.75" customHeight="1">
      <c r="A116" s="166" t="s">
        <v>241</v>
      </c>
      <c r="B116" s="166"/>
      <c r="C116" s="166"/>
      <c r="D116" s="166" t="s">
        <v>242</v>
      </c>
      <c r="E116" s="166"/>
      <c r="F116" s="166"/>
      <c r="G116" s="6"/>
      <c r="H116" s="166" t="s">
        <v>290</v>
      </c>
      <c r="I116" s="166"/>
      <c r="J116" s="166"/>
      <c r="K116" s="101"/>
    </row>
    <row r="117" spans="1:11" ht="21.75" customHeight="1">
      <c r="A117" s="166" t="s">
        <v>11</v>
      </c>
      <c r="B117" s="166"/>
      <c r="C117" s="166"/>
      <c r="D117" s="166" t="s">
        <v>12</v>
      </c>
      <c r="E117" s="166"/>
      <c r="F117" s="166"/>
      <c r="G117" s="166"/>
      <c r="H117" s="169" t="s">
        <v>291</v>
      </c>
      <c r="I117" s="169"/>
      <c r="J117" s="169"/>
      <c r="K117" s="101"/>
    </row>
  </sheetData>
  <sheetProtection/>
  <mergeCells count="63">
    <mergeCell ref="E93:F93"/>
    <mergeCell ref="A65:B65"/>
    <mergeCell ref="A80:E80"/>
    <mergeCell ref="F80:J80"/>
    <mergeCell ref="A82:E82"/>
    <mergeCell ref="H77:J77"/>
    <mergeCell ref="A78:C78"/>
    <mergeCell ref="A77:C77"/>
    <mergeCell ref="D78:G78"/>
    <mergeCell ref="A1:J1"/>
    <mergeCell ref="A2:J2"/>
    <mergeCell ref="A3:J3"/>
    <mergeCell ref="A4:C4"/>
    <mergeCell ref="E4:F4"/>
    <mergeCell ref="G4:H4"/>
    <mergeCell ref="I4:J4"/>
    <mergeCell ref="A37:C37"/>
    <mergeCell ref="D37:F37"/>
    <mergeCell ref="C50:D50"/>
    <mergeCell ref="E50:F50"/>
    <mergeCell ref="A43:E43"/>
    <mergeCell ref="F43:J43"/>
    <mergeCell ref="A45:E45"/>
    <mergeCell ref="H37:J37"/>
    <mergeCell ref="H38:J38"/>
    <mergeCell ref="A38:C38"/>
    <mergeCell ref="D42:F42"/>
    <mergeCell ref="D38:G38"/>
    <mergeCell ref="A56:B56"/>
    <mergeCell ref="E55:F55"/>
    <mergeCell ref="C55:D55"/>
    <mergeCell ref="A50:B50"/>
    <mergeCell ref="A55:B55"/>
    <mergeCell ref="D39:G39"/>
    <mergeCell ref="A39:C39"/>
    <mergeCell ref="A116:C116"/>
    <mergeCell ref="A97:B97"/>
    <mergeCell ref="A93:B93"/>
    <mergeCell ref="A95:B95"/>
    <mergeCell ref="C93:D93"/>
    <mergeCell ref="A96:B96"/>
    <mergeCell ref="A94:B94"/>
    <mergeCell ref="A102:B102"/>
    <mergeCell ref="H117:J117"/>
    <mergeCell ref="H116:J116"/>
    <mergeCell ref="D116:F116"/>
    <mergeCell ref="A98:B98"/>
    <mergeCell ref="A99:B99"/>
    <mergeCell ref="A100:B100"/>
    <mergeCell ref="A101:B101"/>
    <mergeCell ref="D117:G117"/>
    <mergeCell ref="A117:C117"/>
    <mergeCell ref="A105:B105"/>
    <mergeCell ref="H39:K39"/>
    <mergeCell ref="H84:I84"/>
    <mergeCell ref="H47:I47"/>
    <mergeCell ref="A104:B104"/>
    <mergeCell ref="A103:B103"/>
    <mergeCell ref="A87:B87"/>
    <mergeCell ref="C87:D87"/>
    <mergeCell ref="E87:F87"/>
    <mergeCell ref="H78:J78"/>
    <mergeCell ref="D77:F77"/>
  </mergeCells>
  <printOptions/>
  <pageMargins left="0" right="0" top="0.5905511811023623" bottom="0.5905511811023623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Normal="75" zoomScaleSheetLayoutView="100" workbookViewId="0" topLeftCell="A58">
      <selection activeCell="E10" sqref="E10"/>
    </sheetView>
  </sheetViews>
  <sheetFormatPr defaultColWidth="9.140625" defaultRowHeight="21.75" customHeight="1"/>
  <cols>
    <col min="1" max="1" width="11.57421875" style="6" customWidth="1"/>
    <col min="2" max="2" width="5.28125" style="6" customWidth="1"/>
    <col min="3" max="3" width="14.28125" style="6" customWidth="1"/>
    <col min="4" max="4" width="5.7109375" style="6" customWidth="1"/>
    <col min="5" max="5" width="38.00390625" style="6" customWidth="1"/>
    <col min="6" max="6" width="12.28125" style="6" customWidth="1"/>
    <col min="7" max="7" width="12.7109375" style="6" customWidth="1"/>
    <col min="8" max="8" width="5.421875" style="6" customWidth="1"/>
    <col min="9" max="9" width="9.140625" style="6" customWidth="1"/>
    <col min="10" max="10" width="16.57421875" style="6" customWidth="1"/>
    <col min="11" max="11" width="19.00390625" style="6" customWidth="1"/>
    <col min="12" max="12" width="19.28125" style="6" customWidth="1"/>
    <col min="13" max="13" width="12.7109375" style="6" bestFit="1" customWidth="1"/>
    <col min="14" max="14" width="10.28125" style="6" bestFit="1" customWidth="1"/>
    <col min="15" max="16384" width="9.140625" style="6" customWidth="1"/>
  </cols>
  <sheetData>
    <row r="1" spans="1:9" ht="21.75" customHeight="1">
      <c r="A1" s="195" t="s">
        <v>245</v>
      </c>
      <c r="B1" s="195"/>
      <c r="C1" s="195"/>
      <c r="D1" s="195"/>
      <c r="E1" s="195"/>
      <c r="F1" s="195"/>
      <c r="G1" s="195"/>
      <c r="H1" s="195"/>
      <c r="I1" s="3"/>
    </row>
    <row r="2" spans="1:9" ht="21.75" customHeight="1">
      <c r="A2" s="195" t="s">
        <v>257</v>
      </c>
      <c r="B2" s="195"/>
      <c r="C2" s="195"/>
      <c r="D2" s="195"/>
      <c r="E2" s="195"/>
      <c r="F2" s="195"/>
      <c r="G2" s="195"/>
      <c r="H2" s="195"/>
      <c r="I2" s="3"/>
    </row>
    <row r="3" spans="1:8" ht="21.75" customHeight="1">
      <c r="A3" s="5"/>
      <c r="B3" s="5"/>
      <c r="C3" s="5"/>
      <c r="D3" s="5"/>
      <c r="E3" s="5"/>
      <c r="F3" s="3" t="s">
        <v>296</v>
      </c>
      <c r="G3" s="3"/>
      <c r="H3" s="3"/>
    </row>
    <row r="4" spans="1:8" ht="21.75" customHeight="1">
      <c r="A4" s="195" t="s">
        <v>208</v>
      </c>
      <c r="B4" s="195"/>
      <c r="C4" s="195"/>
      <c r="D4" s="195"/>
      <c r="E4" s="195"/>
      <c r="F4" s="195"/>
      <c r="G4" s="195"/>
      <c r="H4" s="195"/>
    </row>
    <row r="5" spans="6:8" ht="21.75" customHeight="1">
      <c r="F5" s="196" t="s">
        <v>312</v>
      </c>
      <c r="G5" s="196"/>
      <c r="H5" s="196"/>
    </row>
    <row r="6" spans="1:8" ht="21.75" customHeight="1">
      <c r="A6" s="183" t="s">
        <v>209</v>
      </c>
      <c r="B6" s="184"/>
      <c r="C6" s="184"/>
      <c r="D6" s="184"/>
      <c r="E6" s="194" t="s">
        <v>26</v>
      </c>
      <c r="F6" s="194" t="s">
        <v>27</v>
      </c>
      <c r="G6" s="183" t="s">
        <v>210</v>
      </c>
      <c r="H6" s="185"/>
    </row>
    <row r="7" spans="1:8" ht="21.75" customHeight="1">
      <c r="A7" s="176" t="s">
        <v>53</v>
      </c>
      <c r="B7" s="175"/>
      <c r="C7" s="176" t="s">
        <v>211</v>
      </c>
      <c r="D7" s="175"/>
      <c r="E7" s="192"/>
      <c r="F7" s="192"/>
      <c r="G7" s="176" t="s">
        <v>211</v>
      </c>
      <c r="H7" s="175"/>
    </row>
    <row r="8" spans="1:8" ht="21.75" customHeight="1">
      <c r="A8" s="186" t="s">
        <v>212</v>
      </c>
      <c r="B8" s="187"/>
      <c r="C8" s="186" t="s">
        <v>212</v>
      </c>
      <c r="D8" s="187"/>
      <c r="E8" s="193"/>
      <c r="F8" s="193"/>
      <c r="G8" s="186" t="s">
        <v>212</v>
      </c>
      <c r="H8" s="187"/>
    </row>
    <row r="9" spans="1:8" ht="21.75" customHeight="1">
      <c r="A9" s="7"/>
      <c r="B9" s="7"/>
      <c r="C9" s="14">
        <v>13996016</v>
      </c>
      <c r="D9" s="15">
        <v>24</v>
      </c>
      <c r="E9" s="10" t="s">
        <v>1</v>
      </c>
      <c r="F9" s="10"/>
      <c r="G9" s="11"/>
      <c r="H9" s="11"/>
    </row>
    <row r="10" spans="1:10" ht="21.75" customHeight="1">
      <c r="A10" s="12"/>
      <c r="B10" s="12"/>
      <c r="C10" s="12"/>
      <c r="D10" s="9"/>
      <c r="E10" s="13" t="s">
        <v>313</v>
      </c>
      <c r="F10" s="13"/>
      <c r="G10" s="14">
        <v>17094313</v>
      </c>
      <c r="H10" s="15">
        <v>39</v>
      </c>
      <c r="J10" s="75"/>
    </row>
    <row r="11" spans="1:8" ht="21.75" customHeight="1">
      <c r="A11" s="12"/>
      <c r="B11" s="12"/>
      <c r="C11" s="16"/>
      <c r="D11" s="9"/>
      <c r="E11" s="17" t="s">
        <v>233</v>
      </c>
      <c r="F11" s="13"/>
      <c r="G11" s="18"/>
      <c r="H11" s="19"/>
    </row>
    <row r="12" spans="1:8" ht="21.75" customHeight="1">
      <c r="A12" s="14">
        <f>35000+21000+1700+5000000+20000+500000+1279720+190000+420+25000+20000</f>
        <v>7092840</v>
      </c>
      <c r="B12" s="15"/>
      <c r="C12" s="21">
        <f>280819+141099+1+1220716+346838+1141347+1+410863+926613+1+806917+323618+1244032+1</f>
        <v>6842866</v>
      </c>
      <c r="D12" s="15">
        <f>93+23-100+7+79-100+23+85-100+19+22+79-100</f>
        <v>30</v>
      </c>
      <c r="E12" s="13" t="s">
        <v>213</v>
      </c>
      <c r="F12" s="22" t="s">
        <v>57</v>
      </c>
      <c r="G12" s="23">
        <f>668+51111+97585+1076712+17956</f>
        <v>1244032</v>
      </c>
      <c r="H12" s="9">
        <f>39+25+15</f>
        <v>79</v>
      </c>
    </row>
    <row r="13" spans="1:8" ht="21.75" customHeight="1">
      <c r="A13" s="14">
        <f>760+300+1000+20000+133+13000</f>
        <v>35193</v>
      </c>
      <c r="B13" s="15"/>
      <c r="C13" s="21">
        <f>180+2715+474+4856+2843+5417+1290+800+1068</f>
        <v>19643</v>
      </c>
      <c r="D13" s="9">
        <v>0</v>
      </c>
      <c r="E13" s="13" t="s">
        <v>214</v>
      </c>
      <c r="F13" s="22" t="s">
        <v>72</v>
      </c>
      <c r="G13" s="23"/>
      <c r="H13" s="9"/>
    </row>
    <row r="14" spans="1:8" ht="21.75" customHeight="1">
      <c r="A14" s="14">
        <f>80000</f>
        <v>80000</v>
      </c>
      <c r="B14" s="15"/>
      <c r="C14" s="21">
        <f>30698+14092+4152+1+26915</f>
        <v>75858</v>
      </c>
      <c r="D14" s="9">
        <f>30+74-100+91</f>
        <v>95</v>
      </c>
      <c r="E14" s="13" t="s">
        <v>215</v>
      </c>
      <c r="F14" s="22" t="s">
        <v>134</v>
      </c>
      <c r="G14" s="23"/>
      <c r="H14" s="15"/>
    </row>
    <row r="15" spans="1:8" ht="21.75" customHeight="1">
      <c r="A15" s="14"/>
      <c r="B15" s="14"/>
      <c r="C15" s="21"/>
      <c r="D15" s="9"/>
      <c r="E15" s="13" t="s">
        <v>216</v>
      </c>
      <c r="F15" s="22" t="s">
        <v>146</v>
      </c>
      <c r="G15" s="23"/>
      <c r="H15" s="9"/>
    </row>
    <row r="16" spans="1:8" ht="21.75" customHeight="1">
      <c r="A16" s="14">
        <f>50000+1200+1000+1000</f>
        <v>53200</v>
      </c>
      <c r="B16" s="15"/>
      <c r="C16" s="21">
        <f>100+900+20+610+10+341410+31260+18170+1200</f>
        <v>393680</v>
      </c>
      <c r="D16" s="15">
        <v>0</v>
      </c>
      <c r="E16" s="13" t="s">
        <v>217</v>
      </c>
      <c r="F16" s="22" t="s">
        <v>155</v>
      </c>
      <c r="G16" s="23"/>
      <c r="H16" s="9"/>
    </row>
    <row r="17" spans="1:8" ht="21.75" customHeight="1">
      <c r="A17" s="14"/>
      <c r="B17" s="14"/>
      <c r="C17" s="21"/>
      <c r="D17" s="15"/>
      <c r="E17" s="13" t="s">
        <v>218</v>
      </c>
      <c r="F17" s="22" t="s">
        <v>171</v>
      </c>
      <c r="G17" s="23"/>
      <c r="H17" s="9"/>
    </row>
    <row r="18" spans="1:8" ht="21.75" customHeight="1">
      <c r="A18" s="14"/>
      <c r="B18" s="20"/>
      <c r="C18" s="14"/>
      <c r="D18" s="15"/>
      <c r="E18" s="13" t="s">
        <v>219</v>
      </c>
      <c r="F18" s="22">
        <v>1000</v>
      </c>
      <c r="G18" s="23"/>
      <c r="H18" s="9"/>
    </row>
    <row r="19" spans="1:8" ht="21.75" customHeight="1">
      <c r="A19" s="14">
        <v>8287482</v>
      </c>
      <c r="B19" s="15"/>
      <c r="C19" s="14">
        <v>5404004</v>
      </c>
      <c r="D19" s="9">
        <v>0</v>
      </c>
      <c r="E19" s="13" t="s">
        <v>220</v>
      </c>
      <c r="F19" s="22">
        <v>2000</v>
      </c>
      <c r="G19" s="23"/>
      <c r="H19" s="15"/>
    </row>
    <row r="20" spans="1:8" ht="21.75" customHeight="1">
      <c r="A20" s="14"/>
      <c r="B20" s="20"/>
      <c r="C20" s="23"/>
      <c r="D20" s="15"/>
      <c r="E20" s="13" t="s">
        <v>221</v>
      </c>
      <c r="F20" s="22"/>
      <c r="G20" s="23"/>
      <c r="H20" s="15"/>
    </row>
    <row r="21" spans="1:8" ht="21.75" customHeight="1" thickBot="1">
      <c r="A21" s="28">
        <f>SUM(A12:A20)</f>
        <v>15548715</v>
      </c>
      <c r="B21" s="29">
        <f>SUM(B12:B19)</f>
        <v>0</v>
      </c>
      <c r="C21" s="28">
        <f>SUM(C12:C19)+1</f>
        <v>12736052</v>
      </c>
      <c r="D21" s="29">
        <f>SUM(D12:D19)-100</f>
        <v>25</v>
      </c>
      <c r="E21" s="13"/>
      <c r="F21" s="22"/>
      <c r="G21" s="28">
        <f>SUM(G12:G19)</f>
        <v>1244032</v>
      </c>
      <c r="H21" s="29">
        <f>SUM(H12:H19)</f>
        <v>79</v>
      </c>
    </row>
    <row r="22" spans="1:8" ht="21.75" customHeight="1" thickTop="1">
      <c r="A22" s="30"/>
      <c r="B22" s="30"/>
      <c r="C22" s="14"/>
      <c r="D22" s="15"/>
      <c r="E22" s="13"/>
      <c r="F22" s="22"/>
      <c r="G22" s="23"/>
      <c r="H22" s="15"/>
    </row>
    <row r="23" spans="1:8" ht="21.75" customHeight="1">
      <c r="A23" s="30"/>
      <c r="B23" s="30"/>
      <c r="C23" s="14">
        <f>46855+1988+1+19244+5048+1+2893+26514+1+6329+7822+1+50834+1+79325</f>
        <v>246857</v>
      </c>
      <c r="D23" s="9">
        <f>86+23-100+88+19-100+53+31-100+95+44-100+84-100+50</f>
        <v>73</v>
      </c>
      <c r="E23" s="13" t="s">
        <v>256</v>
      </c>
      <c r="F23" s="22">
        <v>900</v>
      </c>
      <c r="G23" s="23">
        <v>79325</v>
      </c>
      <c r="H23" s="15">
        <v>50</v>
      </c>
    </row>
    <row r="24" spans="1:8" ht="21.75" customHeight="1">
      <c r="A24" s="30"/>
      <c r="B24" s="30"/>
      <c r="C24" s="14">
        <v>105060</v>
      </c>
      <c r="D24" s="15">
        <v>0</v>
      </c>
      <c r="E24" s="13" t="s">
        <v>302</v>
      </c>
      <c r="F24" s="22">
        <v>700</v>
      </c>
      <c r="G24" s="23"/>
      <c r="H24" s="15"/>
    </row>
    <row r="25" spans="1:8" ht="21.75" customHeight="1">
      <c r="A25" s="30"/>
      <c r="B25" s="30"/>
      <c r="C25" s="14">
        <f>780000+852000+536000</f>
        <v>2168000</v>
      </c>
      <c r="D25" s="15">
        <v>0</v>
      </c>
      <c r="E25" s="13" t="s">
        <v>270</v>
      </c>
      <c r="F25" s="22"/>
      <c r="G25" s="23"/>
      <c r="H25" s="15"/>
    </row>
    <row r="26" spans="1:8" ht="21.75" customHeight="1">
      <c r="A26" s="30"/>
      <c r="B26" s="30"/>
      <c r="C26" s="14">
        <f>70000+420000+268500+117000</f>
        <v>875500</v>
      </c>
      <c r="D26" s="9">
        <v>0</v>
      </c>
      <c r="E26" s="13" t="s">
        <v>288</v>
      </c>
      <c r="F26" s="22"/>
      <c r="G26" s="23"/>
      <c r="H26" s="15"/>
    </row>
    <row r="27" spans="1:8" ht="21.75" customHeight="1">
      <c r="A27" s="30"/>
      <c r="B27" s="30"/>
      <c r="C27" s="14">
        <f>62076+15519+15519+58275</f>
        <v>151389</v>
      </c>
      <c r="D27" s="15">
        <v>0</v>
      </c>
      <c r="E27" s="148" t="s">
        <v>298</v>
      </c>
      <c r="F27" s="22"/>
      <c r="G27" s="23">
        <v>58275</v>
      </c>
      <c r="H27" s="9">
        <v>0</v>
      </c>
    </row>
    <row r="28" spans="1:8" ht="21.75" customHeight="1">
      <c r="A28" s="30"/>
      <c r="B28" s="30"/>
      <c r="C28" s="14"/>
      <c r="D28" s="15"/>
      <c r="E28" s="13"/>
      <c r="F28" s="22"/>
      <c r="G28" s="23"/>
      <c r="H28" s="15"/>
    </row>
    <row r="29" spans="1:8" ht="21.75" customHeight="1">
      <c r="A29" s="30"/>
      <c r="B29" s="30"/>
      <c r="C29" s="14"/>
      <c r="D29" s="15"/>
      <c r="E29" s="13"/>
      <c r="F29" s="22"/>
      <c r="G29" s="23"/>
      <c r="H29" s="15"/>
    </row>
    <row r="30" spans="1:8" ht="21.75" customHeight="1">
      <c r="A30" s="30"/>
      <c r="B30" s="30"/>
      <c r="C30" s="14"/>
      <c r="D30" s="9"/>
      <c r="E30" s="13"/>
      <c r="F30" s="22"/>
      <c r="G30" s="23"/>
      <c r="H30" s="15"/>
    </row>
    <row r="31" spans="1:8" ht="21.75" customHeight="1">
      <c r="A31" s="30"/>
      <c r="B31" s="30"/>
      <c r="C31" s="14"/>
      <c r="D31" s="9"/>
      <c r="E31" s="13"/>
      <c r="F31" s="31"/>
      <c r="G31" s="14"/>
      <c r="H31" s="19"/>
    </row>
    <row r="32" spans="1:8" ht="21.75" customHeight="1">
      <c r="A32" s="30"/>
      <c r="B32" s="30"/>
      <c r="C32" s="14"/>
      <c r="D32" s="9"/>
      <c r="E32" s="13"/>
      <c r="F32" s="31"/>
      <c r="G32" s="14"/>
      <c r="H32" s="19"/>
    </row>
    <row r="33" spans="1:8" ht="21.75" customHeight="1">
      <c r="A33" s="30"/>
      <c r="B33" s="30"/>
      <c r="C33" s="14"/>
      <c r="D33" s="9"/>
      <c r="E33" s="13"/>
      <c r="F33" s="13"/>
      <c r="G33" s="14"/>
      <c r="H33" s="19"/>
    </row>
    <row r="34" spans="1:8" ht="21.75" customHeight="1">
      <c r="A34" s="32"/>
      <c r="B34" s="32"/>
      <c r="C34" s="33">
        <f>SUM(C22:C31)</f>
        <v>3546806</v>
      </c>
      <c r="D34" s="34">
        <f>SUM(D22:D31)</f>
        <v>73</v>
      </c>
      <c r="E34" s="13"/>
      <c r="F34" s="13"/>
      <c r="G34" s="33">
        <f>SUM(G22:G30)</f>
        <v>137600</v>
      </c>
      <c r="H34" s="34">
        <f>SUM(H22:H30)</f>
        <v>50</v>
      </c>
    </row>
    <row r="35" spans="1:10" ht="21.75" customHeight="1" thickBot="1">
      <c r="A35" s="30"/>
      <c r="B35" s="35"/>
      <c r="C35" s="28">
        <f>SUM(C34,C21)</f>
        <v>16282858</v>
      </c>
      <c r="D35" s="36">
        <f>SUM(D34,D21)</f>
        <v>98</v>
      </c>
      <c r="E35" s="31" t="s">
        <v>222</v>
      </c>
      <c r="F35" s="13"/>
      <c r="G35" s="28">
        <f>SUM(G34,G21)+1</f>
        <v>1381633</v>
      </c>
      <c r="H35" s="36">
        <f>SUM(H34,H21)-100</f>
        <v>29</v>
      </c>
      <c r="J35" s="75"/>
    </row>
    <row r="36" spans="1:8" ht="21.75" customHeight="1" thickTop="1">
      <c r="A36" s="30"/>
      <c r="B36" s="35"/>
      <c r="C36" s="30"/>
      <c r="D36" s="35"/>
      <c r="E36" s="42"/>
      <c r="F36" s="3"/>
      <c r="G36" s="30"/>
      <c r="H36" s="35"/>
    </row>
    <row r="37" spans="1:9" ht="21.75" customHeight="1">
      <c r="A37" s="166" t="s">
        <v>243</v>
      </c>
      <c r="B37" s="166"/>
      <c r="C37" s="166"/>
      <c r="D37" s="100"/>
      <c r="E37" s="60" t="s">
        <v>244</v>
      </c>
      <c r="F37" s="166" t="s">
        <v>244</v>
      </c>
      <c r="G37" s="166"/>
      <c r="H37" s="166"/>
      <c r="I37" s="166"/>
    </row>
    <row r="38" spans="7:8" ht="21.75" customHeight="1">
      <c r="G38" s="48"/>
      <c r="H38" s="25"/>
    </row>
    <row r="39" spans="1:9" ht="21.75" customHeight="1">
      <c r="A39" s="166" t="s">
        <v>241</v>
      </c>
      <c r="B39" s="166"/>
      <c r="C39" s="166"/>
      <c r="D39" s="166" t="s">
        <v>242</v>
      </c>
      <c r="E39" s="166"/>
      <c r="F39" s="166" t="s">
        <v>290</v>
      </c>
      <c r="G39" s="166"/>
      <c r="H39" s="166"/>
      <c r="I39" s="166"/>
    </row>
    <row r="40" spans="1:9" ht="21.75" customHeight="1">
      <c r="A40" s="166" t="s">
        <v>11</v>
      </c>
      <c r="B40" s="166"/>
      <c r="C40" s="166"/>
      <c r="D40" s="166" t="s">
        <v>12</v>
      </c>
      <c r="E40" s="166"/>
      <c r="F40" s="166" t="s">
        <v>291</v>
      </c>
      <c r="G40" s="166"/>
      <c r="H40" s="166"/>
      <c r="I40" s="166"/>
    </row>
    <row r="41" spans="1:9" ht="21.75" customHeight="1">
      <c r="A41" s="166"/>
      <c r="B41" s="166"/>
      <c r="C41" s="166"/>
      <c r="D41" s="166"/>
      <c r="E41" s="166"/>
      <c r="F41" s="101"/>
      <c r="G41" s="101"/>
      <c r="H41" s="101"/>
      <c r="I41" s="101"/>
    </row>
    <row r="42" spans="1:8" ht="21.75" customHeight="1">
      <c r="A42" s="60"/>
      <c r="B42" s="60"/>
      <c r="C42" s="60"/>
      <c r="D42" s="60"/>
      <c r="E42" s="60"/>
      <c r="F42" s="60"/>
      <c r="G42" s="60"/>
      <c r="H42" s="60"/>
    </row>
    <row r="43" spans="1:8" ht="21.75" customHeight="1" thickBot="1">
      <c r="A43" s="60"/>
      <c r="B43" s="60"/>
      <c r="C43" s="60"/>
      <c r="D43" s="60"/>
      <c r="E43" s="60"/>
      <c r="F43" s="60"/>
      <c r="G43" s="60"/>
      <c r="H43" s="60"/>
    </row>
    <row r="44" spans="1:8" ht="21.75" customHeight="1" thickTop="1">
      <c r="A44" s="188" t="s">
        <v>209</v>
      </c>
      <c r="B44" s="190"/>
      <c r="C44" s="190"/>
      <c r="D44" s="190"/>
      <c r="E44" s="191" t="s">
        <v>26</v>
      </c>
      <c r="F44" s="191" t="s">
        <v>27</v>
      </c>
      <c r="G44" s="188" t="s">
        <v>210</v>
      </c>
      <c r="H44" s="189"/>
    </row>
    <row r="45" spans="1:8" ht="21.75" customHeight="1">
      <c r="A45" s="176" t="s">
        <v>53</v>
      </c>
      <c r="B45" s="175"/>
      <c r="C45" s="176" t="s">
        <v>211</v>
      </c>
      <c r="D45" s="175"/>
      <c r="E45" s="192"/>
      <c r="F45" s="192"/>
      <c r="G45" s="176" t="s">
        <v>211</v>
      </c>
      <c r="H45" s="175"/>
    </row>
    <row r="46" spans="1:8" ht="21.75" customHeight="1">
      <c r="A46" s="186" t="s">
        <v>212</v>
      </c>
      <c r="B46" s="187"/>
      <c r="C46" s="186" t="s">
        <v>212</v>
      </c>
      <c r="D46" s="187"/>
      <c r="E46" s="193"/>
      <c r="F46" s="193"/>
      <c r="G46" s="186" t="s">
        <v>212</v>
      </c>
      <c r="H46" s="187"/>
    </row>
    <row r="47" spans="1:8" ht="21.75" customHeight="1">
      <c r="A47" s="7"/>
      <c r="B47" s="7"/>
      <c r="C47" s="7"/>
      <c r="D47" s="7"/>
      <c r="E47" s="37" t="s">
        <v>223</v>
      </c>
      <c r="F47" s="10"/>
      <c r="G47" s="11"/>
      <c r="H47" s="11"/>
    </row>
    <row r="48" spans="1:8" ht="21.75" customHeight="1">
      <c r="A48" s="12">
        <v>1665765</v>
      </c>
      <c r="B48" s="15"/>
      <c r="C48" s="23">
        <f>3958+138070+9556+31600+4039+4039+48159+8578+103500</f>
        <v>351499</v>
      </c>
      <c r="D48" s="15">
        <v>33</v>
      </c>
      <c r="E48" s="13" t="s">
        <v>224</v>
      </c>
      <c r="F48" s="22">
        <v>5000</v>
      </c>
      <c r="G48" s="23">
        <v>103500</v>
      </c>
      <c r="H48" s="9">
        <v>0</v>
      </c>
    </row>
    <row r="49" spans="1:8" ht="21.75" customHeight="1">
      <c r="A49" s="12">
        <f>2187120+580800+157680+150720</f>
        <v>3076320</v>
      </c>
      <c r="B49" s="15"/>
      <c r="C49" s="14">
        <f>227780+227780+227780+258440+240728+253730+255680+255680+267200+259360</f>
        <v>2474158</v>
      </c>
      <c r="D49" s="15">
        <v>0</v>
      </c>
      <c r="E49" s="13" t="s">
        <v>37</v>
      </c>
      <c r="F49" s="31">
        <v>100</v>
      </c>
      <c r="G49" s="23">
        <v>259360</v>
      </c>
      <c r="H49" s="9">
        <v>0</v>
      </c>
    </row>
    <row r="50" spans="1:8" ht="21.75" customHeight="1">
      <c r="A50" s="14">
        <f>87120+18000</f>
        <v>105120</v>
      </c>
      <c r="B50" s="15"/>
      <c r="C50" s="14">
        <f>8600+8600+8600+8600+8600+8600+8760+8760+8760+8760</f>
        <v>86640</v>
      </c>
      <c r="D50" s="15">
        <v>0</v>
      </c>
      <c r="E50" s="13" t="s">
        <v>38</v>
      </c>
      <c r="F50" s="22">
        <v>120</v>
      </c>
      <c r="G50" s="23">
        <v>8760</v>
      </c>
      <c r="H50" s="9">
        <v>0</v>
      </c>
    </row>
    <row r="51" spans="1:12" ht="21.75" customHeight="1">
      <c r="A51" s="14">
        <v>577800</v>
      </c>
      <c r="B51" s="15"/>
      <c r="C51" s="14">
        <f>39570+23550+31750+31750+31750+31750+31750+31750+31750+31750</f>
        <v>317120</v>
      </c>
      <c r="D51" s="15">
        <v>0</v>
      </c>
      <c r="E51" s="13" t="s">
        <v>39</v>
      </c>
      <c r="F51" s="22">
        <v>130</v>
      </c>
      <c r="G51" s="23">
        <v>31750</v>
      </c>
      <c r="H51" s="9">
        <v>0</v>
      </c>
      <c r="J51" s="6" t="s">
        <v>273</v>
      </c>
      <c r="K51" s="6" t="s">
        <v>274</v>
      </c>
      <c r="L51" s="6" t="s">
        <v>275</v>
      </c>
    </row>
    <row r="52" spans="1:14" ht="21.75" customHeight="1">
      <c r="A52" s="14">
        <f>345260+203020+108830+109250</f>
        <v>766360</v>
      </c>
      <c r="B52" s="15"/>
      <c r="C52" s="23">
        <f>3951+24565+8391+6598+4785+18238+1000+7400+18089+1000</f>
        <v>94017</v>
      </c>
      <c r="D52" s="15">
        <v>50</v>
      </c>
      <c r="E52" s="13" t="s">
        <v>40</v>
      </c>
      <c r="F52" s="22">
        <v>200</v>
      </c>
      <c r="G52" s="23">
        <v>1000</v>
      </c>
      <c r="H52" s="9">
        <v>0</v>
      </c>
      <c r="J52" s="75">
        <f>28000+10000+60000+12000+227190</f>
        <v>337190</v>
      </c>
      <c r="K52" s="75">
        <f>150000+35000+770000+60000</f>
        <v>1015000</v>
      </c>
      <c r="L52" s="75">
        <f>40000+30000+20000+30000+40000+10000+70000</f>
        <v>240000</v>
      </c>
      <c r="M52" s="59">
        <f>SUM(J52:L52)</f>
        <v>1592190</v>
      </c>
      <c r="N52" s="6" t="s">
        <v>276</v>
      </c>
    </row>
    <row r="53" spans="1:14" ht="21.75" customHeight="1">
      <c r="A53" s="14">
        <f>905000+105000+100000+688500</f>
        <v>1798500</v>
      </c>
      <c r="B53" s="15"/>
      <c r="C53" s="23">
        <f>6500+13880+48268+64260+64330+28246+68872+77870+104576</f>
        <v>476802</v>
      </c>
      <c r="D53" s="15">
        <v>0</v>
      </c>
      <c r="E53" s="13" t="s">
        <v>41</v>
      </c>
      <c r="F53" s="22">
        <v>250</v>
      </c>
      <c r="G53" s="23">
        <v>0</v>
      </c>
      <c r="H53" s="9" t="s">
        <v>314</v>
      </c>
      <c r="J53" s="75">
        <f>5000+20000+5000+161790</f>
        <v>191790</v>
      </c>
      <c r="K53" s="75">
        <f>50000+20000+35000</f>
        <v>105000</v>
      </c>
      <c r="L53" s="75">
        <f>20000+20000</f>
        <v>40000</v>
      </c>
      <c r="M53" s="59">
        <f>SUM(J53:L53)</f>
        <v>336790</v>
      </c>
      <c r="N53" s="6" t="s">
        <v>277</v>
      </c>
    </row>
    <row r="54" spans="1:14" ht="21.75" customHeight="1">
      <c r="A54" s="14">
        <f>185000+40000+29000+959358</f>
        <v>1213358</v>
      </c>
      <c r="B54" s="15"/>
      <c r="C54" s="23">
        <f>1680+174223+70820+167670+23161+2400+148284+64685</f>
        <v>652923</v>
      </c>
      <c r="D54" s="15">
        <v>60</v>
      </c>
      <c r="E54" s="13" t="s">
        <v>42</v>
      </c>
      <c r="F54" s="22">
        <v>5270</v>
      </c>
      <c r="G54" s="23">
        <v>64685</v>
      </c>
      <c r="H54" s="9">
        <v>0</v>
      </c>
      <c r="J54" s="75">
        <f>5000+10000+66180</f>
        <v>81180</v>
      </c>
      <c r="K54" s="75">
        <f>40000+10000+366000+20000+450</f>
        <v>436450</v>
      </c>
      <c r="L54" s="75">
        <f>10000+50000+29200+10000+882293</f>
        <v>981493</v>
      </c>
      <c r="M54" s="59">
        <f>SUM(J54:L54)</f>
        <v>1499123</v>
      </c>
      <c r="N54" s="6" t="s">
        <v>278</v>
      </c>
    </row>
    <row r="55" spans="1:14" ht="21.75" customHeight="1">
      <c r="A55" s="14">
        <v>128612</v>
      </c>
      <c r="B55" s="15"/>
      <c r="C55" s="23">
        <f>10738+8139+14461+1+14677+4290+8034+1+20617+1</f>
        <v>80959</v>
      </c>
      <c r="D55" s="15">
        <f>14+56+54-100+48+15+80-100+42-100</f>
        <v>9</v>
      </c>
      <c r="E55" s="13" t="s">
        <v>43</v>
      </c>
      <c r="F55" s="22">
        <v>300</v>
      </c>
      <c r="G55" s="23">
        <v>0</v>
      </c>
      <c r="H55" s="9" t="s">
        <v>314</v>
      </c>
      <c r="J55" s="75">
        <f>5000+15000+4500+12000+52680</f>
        <v>89180</v>
      </c>
      <c r="K55" s="75">
        <f>20000+35000+15000</f>
        <v>70000</v>
      </c>
      <c r="L55" s="75">
        <f>10000+3000+3000+3000+10000</f>
        <v>29000</v>
      </c>
      <c r="M55" s="59">
        <f>SUM(J55:L55)</f>
        <v>188180</v>
      </c>
      <c r="N55" s="6" t="s">
        <v>279</v>
      </c>
    </row>
    <row r="56" spans="1:13" ht="21.75" customHeight="1">
      <c r="A56" s="14">
        <v>1813200</v>
      </c>
      <c r="B56" s="15"/>
      <c r="C56" s="23">
        <f>546208+30000+60000+15000+585480+321558</f>
        <v>1558246</v>
      </c>
      <c r="D56" s="15">
        <v>32</v>
      </c>
      <c r="E56" s="13" t="s">
        <v>220</v>
      </c>
      <c r="F56" s="22">
        <v>5400</v>
      </c>
      <c r="G56" s="23">
        <v>321558</v>
      </c>
      <c r="H56" s="9">
        <v>32</v>
      </c>
      <c r="J56" s="59">
        <f>SUM(J52:J55)</f>
        <v>699340</v>
      </c>
      <c r="K56" s="59">
        <f>SUM(K52:K55)</f>
        <v>1626450</v>
      </c>
      <c r="L56" s="59">
        <f>SUM(L52:L55)</f>
        <v>1290493</v>
      </c>
      <c r="M56" s="59">
        <f>SUM(M52:M55)</f>
        <v>3616283</v>
      </c>
    </row>
    <row r="57" spans="1:8" ht="21.75" customHeight="1">
      <c r="A57" s="23">
        <f>788000+32000+15500+8780</f>
        <v>844280</v>
      </c>
      <c r="B57" s="15"/>
      <c r="C57" s="23">
        <f>89500+14430</f>
        <v>103930</v>
      </c>
      <c r="D57" s="15">
        <v>0</v>
      </c>
      <c r="E57" s="13" t="s">
        <v>45</v>
      </c>
      <c r="F57" s="22">
        <v>5450</v>
      </c>
      <c r="G57" s="23">
        <v>0</v>
      </c>
      <c r="H57" s="9" t="s">
        <v>314</v>
      </c>
    </row>
    <row r="58" spans="1:11" ht="21.75" customHeight="1">
      <c r="A58" s="23">
        <f>465000+3004400+70000</f>
        <v>3539400</v>
      </c>
      <c r="B58" s="15"/>
      <c r="C58" s="23">
        <f>65000+244000</f>
        <v>309000</v>
      </c>
      <c r="D58" s="15">
        <v>0</v>
      </c>
      <c r="E58" s="13" t="s">
        <v>46</v>
      </c>
      <c r="F58" s="22">
        <v>5500</v>
      </c>
      <c r="G58" s="23">
        <v>244000</v>
      </c>
      <c r="H58" s="9">
        <v>0</v>
      </c>
      <c r="J58" s="6" t="s">
        <v>280</v>
      </c>
      <c r="K58" s="6" t="s">
        <v>236</v>
      </c>
    </row>
    <row r="59" spans="1:12" ht="21.75" customHeight="1">
      <c r="A59" s="23">
        <v>20000</v>
      </c>
      <c r="B59" s="15"/>
      <c r="C59" s="23"/>
      <c r="D59" s="15"/>
      <c r="E59" s="13" t="s">
        <v>225</v>
      </c>
      <c r="F59" s="22">
        <v>550</v>
      </c>
      <c r="G59" s="23"/>
      <c r="H59" s="9"/>
      <c r="J59" s="75">
        <f>82800+34500+61000</f>
        <v>178300</v>
      </c>
      <c r="K59" s="75">
        <f>293800</f>
        <v>293800</v>
      </c>
      <c r="L59" s="75">
        <f>SUM(J59:K59)</f>
        <v>472100</v>
      </c>
    </row>
    <row r="60" spans="1:12" ht="21.75" customHeight="1" thickBot="1">
      <c r="A60" s="39">
        <f>SUM(A48:A59)</f>
        <v>15548715</v>
      </c>
      <c r="B60" s="29">
        <f>SUM(B48:B59)</f>
        <v>0</v>
      </c>
      <c r="C60" s="28">
        <f>SUM(C48:C59)+1</f>
        <v>6505295</v>
      </c>
      <c r="D60" s="29">
        <f>SUM(D48:D59)-100</f>
        <v>84</v>
      </c>
      <c r="E60" s="13"/>
      <c r="F60" s="22"/>
      <c r="G60" s="28">
        <f>SUM(G48:G59)</f>
        <v>1034613</v>
      </c>
      <c r="H60" s="29">
        <f>SUM(H48:H59)</f>
        <v>32</v>
      </c>
      <c r="J60" s="75">
        <f>96000+5000</f>
        <v>101000</v>
      </c>
      <c r="K60" s="75">
        <f>2052000+1020000</f>
        <v>3072000</v>
      </c>
      <c r="L60" s="75">
        <f>SUM(J60:K60)</f>
        <v>3173000</v>
      </c>
    </row>
    <row r="61" spans="1:12" ht="21.75" customHeight="1" thickTop="1">
      <c r="A61" s="23"/>
      <c r="B61" s="9"/>
      <c r="C61" s="14"/>
      <c r="D61" s="9"/>
      <c r="E61" s="13" t="s">
        <v>49</v>
      </c>
      <c r="F61" s="22">
        <v>600</v>
      </c>
      <c r="G61" s="14"/>
      <c r="H61" s="9"/>
      <c r="J61" s="75">
        <v>8000</v>
      </c>
      <c r="K61" s="75"/>
      <c r="L61" s="75">
        <f>SUM(J61:K61)</f>
        <v>8000</v>
      </c>
    </row>
    <row r="62" spans="1:14" ht="21.75" customHeight="1">
      <c r="A62" s="14"/>
      <c r="B62" s="14"/>
      <c r="C62" s="14"/>
      <c r="D62" s="9"/>
      <c r="E62" s="13" t="s">
        <v>45</v>
      </c>
      <c r="F62" s="22">
        <v>7450</v>
      </c>
      <c r="G62" s="23"/>
      <c r="H62" s="9"/>
      <c r="J62" s="59">
        <f>SUM(J59:J61)</f>
        <v>287300</v>
      </c>
      <c r="K62" s="59">
        <f>SUM(K59:K61)</f>
        <v>3365800</v>
      </c>
      <c r="L62" s="59">
        <f>SUM(L59:L61)</f>
        <v>3653100</v>
      </c>
      <c r="N62" s="59">
        <f>3653100-L62</f>
        <v>0</v>
      </c>
    </row>
    <row r="63" spans="1:8" ht="21.75" customHeight="1">
      <c r="A63" s="14"/>
      <c r="B63" s="14"/>
      <c r="C63" s="14">
        <v>1987000</v>
      </c>
      <c r="D63" s="9">
        <v>0</v>
      </c>
      <c r="E63" s="13" t="s">
        <v>48</v>
      </c>
      <c r="F63" s="22">
        <v>700</v>
      </c>
      <c r="G63" s="23">
        <v>1987000</v>
      </c>
      <c r="H63" s="15">
        <v>0</v>
      </c>
    </row>
    <row r="64" spans="1:8" ht="21.75" customHeight="1">
      <c r="A64" s="14"/>
      <c r="B64" s="14"/>
      <c r="C64" s="14">
        <f>21977+101041+1+9463+167875+1+2099+1622+1+16736+28671+7614+1+73866+1</f>
        <v>430969</v>
      </c>
      <c r="D64" s="15">
        <f>99+86-100+23+7-100+39+70-100+50+10+98-100+44-100</f>
        <v>26</v>
      </c>
      <c r="E64" s="13" t="s">
        <v>50</v>
      </c>
      <c r="F64" s="22">
        <v>900</v>
      </c>
      <c r="G64" s="23">
        <v>73866</v>
      </c>
      <c r="H64" s="15">
        <v>44</v>
      </c>
    </row>
    <row r="65" spans="1:8" ht="21.75" customHeight="1">
      <c r="A65" s="14"/>
      <c r="B65" s="14"/>
      <c r="C65" s="14">
        <f>122580+134940+352600+446690+149070+119000+121850+15260+31200+5500</f>
        <v>1498690</v>
      </c>
      <c r="D65" s="9">
        <v>0</v>
      </c>
      <c r="E65" s="13" t="s">
        <v>34</v>
      </c>
      <c r="F65" s="22" t="s">
        <v>35</v>
      </c>
      <c r="G65" s="23">
        <v>5500</v>
      </c>
      <c r="H65" s="15">
        <v>0</v>
      </c>
    </row>
    <row r="66" spans="1:8" ht="21.75" customHeight="1">
      <c r="A66" s="14"/>
      <c r="B66" s="14"/>
      <c r="C66" s="14">
        <f>181500+197020+16020+16020+214520+309520+309520+16020+16020+16020</f>
        <v>1292180</v>
      </c>
      <c r="D66" s="15">
        <v>0</v>
      </c>
      <c r="E66" s="13" t="s">
        <v>36</v>
      </c>
      <c r="F66" s="22">
        <v>704</v>
      </c>
      <c r="G66" s="23">
        <v>16020</v>
      </c>
      <c r="H66" s="15">
        <v>0</v>
      </c>
    </row>
    <row r="67" spans="1:8" ht="21.75" customHeight="1">
      <c r="A67" s="14"/>
      <c r="B67" s="14"/>
      <c r="C67" s="14">
        <f>88943+436155+1475000+618000</f>
        <v>2618098</v>
      </c>
      <c r="D67" s="15">
        <v>20</v>
      </c>
      <c r="E67" s="13" t="s">
        <v>226</v>
      </c>
      <c r="F67" s="22">
        <v>600</v>
      </c>
      <c r="G67" s="23"/>
      <c r="H67" s="15"/>
    </row>
    <row r="68" spans="1:10" ht="21.75" customHeight="1">
      <c r="A68" s="14"/>
      <c r="B68" s="14"/>
      <c r="C68" s="14"/>
      <c r="D68" s="15"/>
      <c r="E68" s="13" t="s">
        <v>265</v>
      </c>
      <c r="F68" s="22"/>
      <c r="G68" s="23"/>
      <c r="H68" s="15"/>
      <c r="J68" s="75"/>
    </row>
    <row r="69" spans="1:10" ht="21.75" customHeight="1">
      <c r="A69" s="14"/>
      <c r="B69" s="14"/>
      <c r="C69" s="14">
        <f>739+739+739+1478</f>
        <v>3695</v>
      </c>
      <c r="D69" s="15">
        <v>0</v>
      </c>
      <c r="E69" s="148" t="s">
        <v>298</v>
      </c>
      <c r="F69" s="22"/>
      <c r="G69" s="23"/>
      <c r="H69" s="15"/>
      <c r="J69" s="75"/>
    </row>
    <row r="70" spans="1:11" ht="21.75" customHeight="1">
      <c r="A70" s="14"/>
      <c r="B70" s="14"/>
      <c r="C70" s="14">
        <f>208500+208000+207000</f>
        <v>623500</v>
      </c>
      <c r="D70" s="15">
        <v>0</v>
      </c>
      <c r="E70" s="148" t="s">
        <v>304</v>
      </c>
      <c r="F70" s="22"/>
      <c r="G70" s="23">
        <v>207000</v>
      </c>
      <c r="H70" s="15">
        <v>0</v>
      </c>
      <c r="J70" s="59"/>
      <c r="K70" s="75">
        <f>2537413.69+278924.45+11653868.88+3862395.89-35290.9</f>
        <v>18297312.01</v>
      </c>
    </row>
    <row r="71" spans="1:10" ht="21.75" customHeight="1">
      <c r="A71" s="14"/>
      <c r="B71" s="14"/>
      <c r="C71" s="14">
        <f>84000+83500+82500</f>
        <v>250000</v>
      </c>
      <c r="D71" s="15">
        <v>0</v>
      </c>
      <c r="E71" s="148" t="s">
        <v>305</v>
      </c>
      <c r="F71" s="22"/>
      <c r="G71" s="23">
        <v>82500</v>
      </c>
      <c r="H71" s="15">
        <v>0</v>
      </c>
      <c r="J71" s="75"/>
    </row>
    <row r="72" spans="1:11" ht="21.75" customHeight="1">
      <c r="A72" s="14"/>
      <c r="B72" s="14"/>
      <c r="C72" s="14"/>
      <c r="D72" s="9"/>
      <c r="E72" s="13"/>
      <c r="F72" s="22"/>
      <c r="G72" s="23"/>
      <c r="H72" s="9"/>
      <c r="J72" s="75"/>
      <c r="K72" s="75">
        <f>1093971.23-84400-79660</f>
        <v>929911.23</v>
      </c>
    </row>
    <row r="73" spans="1:8" ht="21.75" customHeight="1">
      <c r="A73" s="33">
        <f>SUM(A62:A67)</f>
        <v>0</v>
      </c>
      <c r="B73" s="33">
        <f>SUM(B62:B67)</f>
        <v>0</v>
      </c>
      <c r="C73" s="33">
        <f>SUM(C61:C72)</f>
        <v>8704132</v>
      </c>
      <c r="D73" s="34">
        <f>SUM(D62:D72)</f>
        <v>46</v>
      </c>
      <c r="E73" s="41"/>
      <c r="F73" s="42"/>
      <c r="G73" s="33">
        <f>SUM(G61:G72)</f>
        <v>2371886</v>
      </c>
      <c r="H73" s="34">
        <f>SUM(H62:H72)</f>
        <v>44</v>
      </c>
    </row>
    <row r="74" spans="1:10" ht="21.75" customHeight="1">
      <c r="A74" s="43">
        <f>SUM(A73,A60)</f>
        <v>15548715</v>
      </c>
      <c r="B74" s="33">
        <f>SUM(B73,B60)</f>
        <v>0</v>
      </c>
      <c r="C74" s="43">
        <f>SUM(C73,C60)+1</f>
        <v>15209428</v>
      </c>
      <c r="D74" s="34">
        <f>SUM(D73,D60)-100</f>
        <v>30</v>
      </c>
      <c r="E74" s="44" t="s">
        <v>227</v>
      </c>
      <c r="F74" s="42"/>
      <c r="G74" s="43">
        <f>SUM(G73,G60)</f>
        <v>3406499</v>
      </c>
      <c r="H74" s="34">
        <f>SUM(H73,H60)</f>
        <v>76</v>
      </c>
      <c r="J74" s="75"/>
    </row>
    <row r="75" spans="1:10" ht="21.75" customHeight="1">
      <c r="A75" s="30"/>
      <c r="B75" s="30"/>
      <c r="C75" s="120">
        <v>1073430</v>
      </c>
      <c r="D75" s="45">
        <v>68</v>
      </c>
      <c r="E75" s="3" t="s">
        <v>228</v>
      </c>
      <c r="F75" s="42"/>
      <c r="G75" s="8"/>
      <c r="H75" s="98"/>
      <c r="J75" s="75"/>
    </row>
    <row r="76" spans="1:10" ht="21.75" customHeight="1">
      <c r="A76" s="30"/>
      <c r="B76" s="30"/>
      <c r="C76" s="8"/>
      <c r="D76" s="9"/>
      <c r="E76" s="3" t="s">
        <v>229</v>
      </c>
      <c r="F76" s="42"/>
      <c r="G76" s="46"/>
      <c r="H76" s="47"/>
      <c r="J76" s="75"/>
    </row>
    <row r="77" spans="1:10" ht="21.75" customHeight="1">
      <c r="A77" s="30"/>
      <c r="B77" s="40"/>
      <c r="C77" s="113"/>
      <c r="D77" s="97"/>
      <c r="E77" s="3" t="s">
        <v>230</v>
      </c>
      <c r="F77" s="3"/>
      <c r="G77" s="8" t="s">
        <v>315</v>
      </c>
      <c r="H77" s="98" t="s">
        <v>316</v>
      </c>
      <c r="J77" s="75"/>
    </row>
    <row r="78" spans="3:10" ht="21.75" customHeight="1" thickBot="1">
      <c r="C78" s="39">
        <f>C9+C35-C74</f>
        <v>15069446</v>
      </c>
      <c r="D78" s="29">
        <f>D9+D35-D74</f>
        <v>92</v>
      </c>
      <c r="E78" s="6" t="s">
        <v>231</v>
      </c>
      <c r="G78" s="39">
        <f>G10+G35-G74-1</f>
        <v>15069446</v>
      </c>
      <c r="H78" s="29">
        <f>H10+H35-H74+100</f>
        <v>92</v>
      </c>
      <c r="J78" s="75"/>
    </row>
    <row r="79" spans="3:10" ht="21.75" customHeight="1" thickTop="1">
      <c r="C79" s="32"/>
      <c r="D79" s="100"/>
      <c r="G79" s="32"/>
      <c r="H79" s="100"/>
      <c r="J79" s="75"/>
    </row>
    <row r="80" spans="3:10" ht="21.75" customHeight="1">
      <c r="C80" s="32"/>
      <c r="D80" s="100"/>
      <c r="G80" s="32"/>
      <c r="H80" s="100"/>
      <c r="J80" s="75"/>
    </row>
    <row r="81" spans="1:10" ht="21.75" customHeight="1">
      <c r="A81" s="166" t="s">
        <v>243</v>
      </c>
      <c r="B81" s="166"/>
      <c r="C81" s="166"/>
      <c r="D81" s="100"/>
      <c r="E81" s="60" t="s">
        <v>244</v>
      </c>
      <c r="F81" s="166" t="s">
        <v>244</v>
      </c>
      <c r="G81" s="166"/>
      <c r="H81" s="166"/>
      <c r="I81" s="166"/>
      <c r="J81" s="75"/>
    </row>
    <row r="82" spans="7:10" ht="21.75" customHeight="1">
      <c r="G82" s="48"/>
      <c r="H82" s="25"/>
      <c r="J82" s="75"/>
    </row>
    <row r="83" spans="1:9" ht="21.75" customHeight="1">
      <c r="A83" s="166" t="s">
        <v>241</v>
      </c>
      <c r="B83" s="166"/>
      <c r="C83" s="166"/>
      <c r="D83" s="166" t="s">
        <v>242</v>
      </c>
      <c r="E83" s="166"/>
      <c r="F83" s="166" t="s">
        <v>290</v>
      </c>
      <c r="G83" s="166"/>
      <c r="H83" s="166"/>
      <c r="I83" s="166"/>
    </row>
    <row r="84" spans="1:9" ht="21.75" customHeight="1">
      <c r="A84" s="166" t="s">
        <v>11</v>
      </c>
      <c r="B84" s="166"/>
      <c r="C84" s="166"/>
      <c r="D84" s="166" t="s">
        <v>12</v>
      </c>
      <c r="E84" s="166"/>
      <c r="F84" s="166" t="s">
        <v>291</v>
      </c>
      <c r="G84" s="166"/>
      <c r="H84" s="166"/>
      <c r="I84" s="166"/>
    </row>
    <row r="85" spans="1:9" ht="21.75" customHeight="1">
      <c r="A85" s="166"/>
      <c r="B85" s="166"/>
      <c r="C85" s="166"/>
      <c r="D85" s="166"/>
      <c r="E85" s="166"/>
      <c r="F85" s="101"/>
      <c r="G85" s="101"/>
      <c r="H85" s="101"/>
      <c r="I85" s="101"/>
    </row>
    <row r="86" spans="7:8" ht="21.75" customHeight="1">
      <c r="G86" s="48"/>
      <c r="H86" s="27"/>
    </row>
    <row r="87" spans="7:8" ht="21.75" customHeight="1">
      <c r="G87" s="24"/>
      <c r="H87" s="26"/>
    </row>
    <row r="88" spans="5:8" ht="21.75" customHeight="1">
      <c r="E88" s="38"/>
      <c r="G88" s="24"/>
      <c r="H88" s="26"/>
    </row>
  </sheetData>
  <sheetProtection/>
  <mergeCells count="44">
    <mergeCell ref="A1:H1"/>
    <mergeCell ref="A2:H2"/>
    <mergeCell ref="A4:H4"/>
    <mergeCell ref="F5:H5"/>
    <mergeCell ref="A6:D6"/>
    <mergeCell ref="E6:E8"/>
    <mergeCell ref="F6:F8"/>
    <mergeCell ref="G6:H6"/>
    <mergeCell ref="A7:B7"/>
    <mergeCell ref="C7:D7"/>
    <mergeCell ref="G7:H7"/>
    <mergeCell ref="A8:B8"/>
    <mergeCell ref="C8:D8"/>
    <mergeCell ref="G8:H8"/>
    <mergeCell ref="G45:H45"/>
    <mergeCell ref="F40:I40"/>
    <mergeCell ref="A37:C37"/>
    <mergeCell ref="A39:C39"/>
    <mergeCell ref="D39:E39"/>
    <mergeCell ref="F39:I39"/>
    <mergeCell ref="F37:I37"/>
    <mergeCell ref="A44:D44"/>
    <mergeCell ref="E44:E46"/>
    <mergeCell ref="F44:F46"/>
    <mergeCell ref="F81:I81"/>
    <mergeCell ref="A81:C81"/>
    <mergeCell ref="G46:H46"/>
    <mergeCell ref="A40:C40"/>
    <mergeCell ref="D40:E40"/>
    <mergeCell ref="A41:C41"/>
    <mergeCell ref="D41:E41"/>
    <mergeCell ref="G44:H44"/>
    <mergeCell ref="A45:B45"/>
    <mergeCell ref="C45:D45"/>
    <mergeCell ref="A46:B46"/>
    <mergeCell ref="C46:D46"/>
    <mergeCell ref="A85:C85"/>
    <mergeCell ref="D85:E85"/>
    <mergeCell ref="F83:I83"/>
    <mergeCell ref="F84:I84"/>
    <mergeCell ref="A83:C83"/>
    <mergeCell ref="D83:E83"/>
    <mergeCell ref="A84:C84"/>
    <mergeCell ref="D84:E84"/>
  </mergeCells>
  <printOptions/>
  <pageMargins left="0" right="0" top="0.1968503937007874" bottom="0.1968503937007874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view="pageBreakPreview" zoomScaleNormal="85" zoomScaleSheetLayoutView="100" workbookViewId="0" topLeftCell="A1">
      <selection activeCell="E13" sqref="E13"/>
    </sheetView>
  </sheetViews>
  <sheetFormatPr defaultColWidth="9.140625" defaultRowHeight="21.75" customHeight="1"/>
  <cols>
    <col min="1" max="4" width="9.140625" style="49" customWidth="1"/>
    <col min="5" max="5" width="19.140625" style="49" customWidth="1"/>
    <col min="6" max="6" width="12.7109375" style="49" customWidth="1"/>
    <col min="7" max="7" width="15.140625" style="49" customWidth="1"/>
    <col min="8" max="8" width="14.8515625" style="49" customWidth="1"/>
    <col min="9" max="9" width="6.7109375" style="49" hidden="1" customWidth="1"/>
    <col min="10" max="11" width="9.140625" style="49" hidden="1" customWidth="1"/>
    <col min="12" max="16384" width="9.140625" style="49" customWidth="1"/>
  </cols>
  <sheetData>
    <row r="1" spans="1:11" ht="21.75" customHeight="1">
      <c r="A1" s="157" t="s">
        <v>245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1.75" customHeight="1">
      <c r="A2" s="157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57" t="s">
        <v>317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21.75" customHeight="1">
      <c r="A4" s="91"/>
      <c r="B4" s="92"/>
      <c r="C4" s="92"/>
      <c r="D4" s="92"/>
      <c r="E4" s="92"/>
      <c r="F4" s="197" t="s">
        <v>27</v>
      </c>
      <c r="G4" s="197" t="s">
        <v>53</v>
      </c>
      <c r="H4" s="197" t="s">
        <v>54</v>
      </c>
      <c r="I4" s="130"/>
      <c r="J4" s="130"/>
      <c r="K4" s="130"/>
    </row>
    <row r="5" spans="1:11" ht="21.75" customHeight="1">
      <c r="A5" s="84"/>
      <c r="B5" s="85"/>
      <c r="C5" s="85"/>
      <c r="D5" s="85"/>
      <c r="E5" s="85"/>
      <c r="F5" s="198"/>
      <c r="G5" s="198"/>
      <c r="H5" s="198"/>
      <c r="I5" s="131"/>
      <c r="J5" s="131"/>
      <c r="K5" s="131"/>
    </row>
    <row r="6" spans="1:11" ht="21.75" customHeight="1">
      <c r="A6" s="111" t="s">
        <v>55</v>
      </c>
      <c r="B6" s="142"/>
      <c r="C6" s="92"/>
      <c r="D6" s="92"/>
      <c r="E6" s="92"/>
      <c r="F6" s="105"/>
      <c r="G6" s="94"/>
      <c r="H6" s="94"/>
      <c r="I6" s="133"/>
      <c r="J6" s="132"/>
      <c r="K6" s="132"/>
    </row>
    <row r="7" spans="1:11" ht="21.75" customHeight="1">
      <c r="A7" s="112" t="s">
        <v>56</v>
      </c>
      <c r="B7" s="117"/>
      <c r="C7" s="81"/>
      <c r="D7" s="81"/>
      <c r="E7" s="81"/>
      <c r="F7" s="134" t="s">
        <v>57</v>
      </c>
      <c r="G7" s="83"/>
      <c r="H7" s="83"/>
      <c r="I7" s="133"/>
      <c r="J7" s="132"/>
      <c r="K7" s="132"/>
    </row>
    <row r="8" spans="1:11" ht="21.75" customHeight="1">
      <c r="A8" s="80" t="s">
        <v>58</v>
      </c>
      <c r="B8" s="81"/>
      <c r="C8" s="81"/>
      <c r="D8" s="81"/>
      <c r="E8" s="81"/>
      <c r="F8" s="134" t="s">
        <v>59</v>
      </c>
      <c r="G8" s="83">
        <v>21000</v>
      </c>
      <c r="H8" s="83">
        <f>3818+10455+5802+849+670</f>
        <v>21594</v>
      </c>
      <c r="I8" s="133"/>
      <c r="J8" s="132"/>
      <c r="K8" s="132"/>
    </row>
    <row r="9" spans="1:11" ht="21.75" customHeight="1">
      <c r="A9" s="80" t="s">
        <v>60</v>
      </c>
      <c r="B9" s="81"/>
      <c r="C9" s="81"/>
      <c r="D9" s="81"/>
      <c r="E9" s="81"/>
      <c r="F9" s="134" t="s">
        <v>61</v>
      </c>
      <c r="G9" s="83">
        <v>35000</v>
      </c>
      <c r="H9" s="83">
        <f>241.19+11722.19+10282.17+5828.61+4926.15+1678.54+391.6+668.39</f>
        <v>35738.840000000004</v>
      </c>
      <c r="I9" s="133"/>
      <c r="J9" s="132"/>
      <c r="K9" s="132"/>
    </row>
    <row r="10" spans="1:11" ht="21.75" customHeight="1">
      <c r="A10" s="80" t="s">
        <v>62</v>
      </c>
      <c r="B10" s="81"/>
      <c r="C10" s="81"/>
      <c r="D10" s="81"/>
      <c r="E10" s="81"/>
      <c r="F10" s="134" t="s">
        <v>63</v>
      </c>
      <c r="G10" s="83">
        <v>1700</v>
      </c>
      <c r="H10" s="83">
        <f>514+1200+200</f>
        <v>1914</v>
      </c>
      <c r="I10" s="133"/>
      <c r="J10" s="132"/>
      <c r="K10" s="132"/>
    </row>
    <row r="11" spans="1:11" ht="21.75" customHeight="1">
      <c r="A11" s="80" t="s">
        <v>64</v>
      </c>
      <c r="B11" s="81"/>
      <c r="C11" s="81"/>
      <c r="D11" s="81"/>
      <c r="E11" s="81"/>
      <c r="F11" s="134" t="s">
        <v>65</v>
      </c>
      <c r="G11" s="83">
        <v>420</v>
      </c>
      <c r="H11" s="83">
        <f>100+30+20+70+50+100+50+80</f>
        <v>500</v>
      </c>
      <c r="I11" s="133"/>
      <c r="J11" s="132"/>
      <c r="K11" s="132"/>
    </row>
    <row r="12" spans="1:11" ht="21.75" customHeight="1">
      <c r="A12" s="80" t="s">
        <v>66</v>
      </c>
      <c r="B12" s="81"/>
      <c r="C12" s="81"/>
      <c r="D12" s="81"/>
      <c r="E12" s="81"/>
      <c r="F12" s="134" t="s">
        <v>67</v>
      </c>
      <c r="G12" s="83"/>
      <c r="H12" s="83"/>
      <c r="I12" s="133"/>
      <c r="J12" s="132"/>
      <c r="K12" s="132"/>
    </row>
    <row r="13" spans="1:11" ht="21.75" customHeight="1">
      <c r="A13" s="80" t="s">
        <v>68</v>
      </c>
      <c r="B13" s="81"/>
      <c r="C13" s="81"/>
      <c r="D13" s="81"/>
      <c r="E13" s="81"/>
      <c r="F13" s="134" t="s">
        <v>69</v>
      </c>
      <c r="G13" s="83"/>
      <c r="H13" s="83"/>
      <c r="I13" s="133"/>
      <c r="J13" s="132"/>
      <c r="K13" s="132"/>
    </row>
    <row r="14" spans="1:11" ht="21.75" customHeight="1">
      <c r="A14" s="80"/>
      <c r="B14" s="81"/>
      <c r="C14" s="81"/>
      <c r="D14" s="81" t="s">
        <v>70</v>
      </c>
      <c r="E14" s="81"/>
      <c r="F14" s="132"/>
      <c r="G14" s="90">
        <f>SUM(G7:G13)</f>
        <v>58120</v>
      </c>
      <c r="H14" s="90">
        <f>SUM(H7:H13)</f>
        <v>59746.840000000004</v>
      </c>
      <c r="I14" s="135"/>
      <c r="J14" s="114"/>
      <c r="K14" s="114"/>
    </row>
    <row r="15" spans="1:11" ht="21.75" customHeight="1">
      <c r="A15" s="80" t="s">
        <v>71</v>
      </c>
      <c r="B15" s="81"/>
      <c r="C15" s="81"/>
      <c r="D15" s="81"/>
      <c r="E15" s="81"/>
      <c r="F15" s="134" t="s">
        <v>72</v>
      </c>
      <c r="G15" s="83"/>
      <c r="H15" s="83"/>
      <c r="I15" s="133"/>
      <c r="J15" s="132"/>
      <c r="K15" s="132"/>
    </row>
    <row r="16" spans="1:13" ht="21.75" customHeight="1">
      <c r="A16" s="80" t="s">
        <v>73</v>
      </c>
      <c r="B16" s="81"/>
      <c r="C16" s="81"/>
      <c r="D16" s="81"/>
      <c r="E16" s="81"/>
      <c r="F16" s="134" t="s">
        <v>74</v>
      </c>
      <c r="G16" s="83">
        <v>760</v>
      </c>
      <c r="H16" s="83">
        <f>180+54+36+126+90+180+90+144</f>
        <v>900</v>
      </c>
      <c r="I16" s="133"/>
      <c r="J16" s="132"/>
      <c r="K16" s="132"/>
      <c r="M16" s="95" t="s">
        <v>240</v>
      </c>
    </row>
    <row r="17" spans="1:11" ht="21.75" customHeight="1">
      <c r="A17" s="80" t="s">
        <v>75</v>
      </c>
      <c r="B17" s="81"/>
      <c r="C17" s="81"/>
      <c r="D17" s="81"/>
      <c r="E17" s="81"/>
      <c r="F17" s="134" t="s">
        <v>76</v>
      </c>
      <c r="G17" s="83"/>
      <c r="H17" s="83"/>
      <c r="I17" s="133"/>
      <c r="J17" s="132"/>
      <c r="K17" s="132"/>
    </row>
    <row r="18" spans="1:11" ht="21.75" customHeight="1">
      <c r="A18" s="80" t="s">
        <v>77</v>
      </c>
      <c r="B18" s="81"/>
      <c r="C18" s="81"/>
      <c r="D18" s="81"/>
      <c r="E18" s="81"/>
      <c r="F18" s="134" t="s">
        <v>78</v>
      </c>
      <c r="G18" s="83"/>
      <c r="H18" s="83"/>
      <c r="I18" s="133"/>
      <c r="J18" s="132"/>
      <c r="K18" s="132"/>
    </row>
    <row r="19" spans="1:11" ht="21.75" customHeight="1">
      <c r="A19" s="80" t="s">
        <v>79</v>
      </c>
      <c r="B19" s="81"/>
      <c r="C19" s="81"/>
      <c r="D19" s="81"/>
      <c r="E19" s="81"/>
      <c r="F19" s="134" t="s">
        <v>80</v>
      </c>
      <c r="G19" s="83"/>
      <c r="H19" s="83"/>
      <c r="I19" s="133"/>
      <c r="J19" s="132"/>
      <c r="K19" s="132"/>
    </row>
    <row r="20" spans="1:11" ht="21.75" customHeight="1">
      <c r="A20" s="80" t="s">
        <v>81</v>
      </c>
      <c r="B20" s="81"/>
      <c r="C20" s="81"/>
      <c r="D20" s="81"/>
      <c r="E20" s="81"/>
      <c r="F20" s="134" t="s">
        <v>82</v>
      </c>
      <c r="G20" s="83">
        <v>300</v>
      </c>
      <c r="H20" s="83">
        <f>41+18+70+33+177+36+18</f>
        <v>393</v>
      </c>
      <c r="I20" s="133"/>
      <c r="J20" s="132"/>
      <c r="K20" s="132"/>
    </row>
    <row r="21" spans="1:11" ht="21.75" customHeight="1">
      <c r="A21" s="80" t="s">
        <v>83</v>
      </c>
      <c r="B21" s="81"/>
      <c r="C21" s="81"/>
      <c r="D21" s="81"/>
      <c r="E21" s="81"/>
      <c r="F21" s="134" t="s">
        <v>84</v>
      </c>
      <c r="G21" s="83"/>
      <c r="H21" s="83"/>
      <c r="I21" s="133"/>
      <c r="J21" s="132"/>
      <c r="K21" s="132"/>
    </row>
    <row r="22" spans="1:11" ht="21.75" customHeight="1">
      <c r="A22" s="80" t="s">
        <v>85</v>
      </c>
      <c r="B22" s="81"/>
      <c r="C22" s="81"/>
      <c r="D22" s="81"/>
      <c r="E22" s="81"/>
      <c r="F22" s="134" t="s">
        <v>86</v>
      </c>
      <c r="G22" s="83"/>
      <c r="H22" s="83"/>
      <c r="I22" s="133"/>
      <c r="J22" s="132"/>
      <c r="K22" s="132"/>
    </row>
    <row r="23" spans="1:11" ht="21.75" customHeight="1">
      <c r="A23" s="80" t="s">
        <v>87</v>
      </c>
      <c r="B23" s="81"/>
      <c r="C23" s="81"/>
      <c r="D23" s="81"/>
      <c r="E23" s="81"/>
      <c r="F23" s="134" t="s">
        <v>88</v>
      </c>
      <c r="G23" s="83"/>
      <c r="H23" s="83"/>
      <c r="I23" s="133"/>
      <c r="J23" s="132"/>
      <c r="K23" s="132"/>
    </row>
    <row r="24" spans="1:11" ht="21.75" customHeight="1">
      <c r="A24" s="80" t="s">
        <v>89</v>
      </c>
      <c r="B24" s="81"/>
      <c r="C24" s="81"/>
      <c r="D24" s="81"/>
      <c r="E24" s="81"/>
      <c r="F24" s="132"/>
      <c r="G24" s="83"/>
      <c r="H24" s="83"/>
      <c r="I24" s="133"/>
      <c r="J24" s="132"/>
      <c r="K24" s="132"/>
    </row>
    <row r="25" spans="1:11" ht="21.75" customHeight="1">
      <c r="A25" s="80" t="s">
        <v>90</v>
      </c>
      <c r="B25" s="81"/>
      <c r="C25" s="81"/>
      <c r="D25" s="81"/>
      <c r="E25" s="81"/>
      <c r="F25" s="134"/>
      <c r="G25" s="83"/>
      <c r="H25" s="83"/>
      <c r="I25" s="133"/>
      <c r="J25" s="132"/>
      <c r="K25" s="132"/>
    </row>
    <row r="26" spans="1:11" ht="21.75" customHeight="1">
      <c r="A26" s="80" t="s">
        <v>91</v>
      </c>
      <c r="B26" s="81"/>
      <c r="C26" s="81"/>
      <c r="D26" s="81"/>
      <c r="E26" s="81"/>
      <c r="F26" s="134" t="s">
        <v>92</v>
      </c>
      <c r="G26" s="83"/>
      <c r="H26" s="83"/>
      <c r="I26" s="133"/>
      <c r="J26" s="132"/>
      <c r="K26" s="132"/>
    </row>
    <row r="27" spans="1:11" ht="21.75" customHeight="1">
      <c r="A27" s="80" t="s">
        <v>93</v>
      </c>
      <c r="B27" s="81"/>
      <c r="C27" s="81"/>
      <c r="D27" s="81"/>
      <c r="E27" s="81"/>
      <c r="F27" s="134" t="s">
        <v>94</v>
      </c>
      <c r="G27" s="83"/>
      <c r="H27" s="83"/>
      <c r="I27" s="133"/>
      <c r="J27" s="132"/>
      <c r="K27" s="132"/>
    </row>
    <row r="28" spans="1:11" ht="21.75" customHeight="1">
      <c r="A28" s="80" t="s">
        <v>95</v>
      </c>
      <c r="B28" s="81"/>
      <c r="C28" s="81"/>
      <c r="D28" s="81"/>
      <c r="E28" s="81"/>
      <c r="F28" s="132"/>
      <c r="G28" s="83"/>
      <c r="H28" s="83"/>
      <c r="I28" s="133"/>
      <c r="J28" s="132"/>
      <c r="K28" s="132"/>
    </row>
    <row r="29" spans="1:11" ht="21.75" customHeight="1">
      <c r="A29" s="80" t="s">
        <v>96</v>
      </c>
      <c r="B29" s="81"/>
      <c r="C29" s="81"/>
      <c r="D29" s="81"/>
      <c r="E29" s="81"/>
      <c r="F29" s="134"/>
      <c r="G29" s="83"/>
      <c r="H29" s="83"/>
      <c r="I29" s="133"/>
      <c r="J29" s="132"/>
      <c r="K29" s="132"/>
    </row>
    <row r="30" spans="1:11" ht="21.75" customHeight="1">
      <c r="A30" s="80" t="s">
        <v>97</v>
      </c>
      <c r="B30" s="81"/>
      <c r="C30" s="81"/>
      <c r="D30" s="81"/>
      <c r="E30" s="81"/>
      <c r="F30" s="134"/>
      <c r="G30" s="83"/>
      <c r="H30" s="83"/>
      <c r="I30" s="133"/>
      <c r="J30" s="132"/>
      <c r="K30" s="132"/>
    </row>
    <row r="31" spans="1:11" ht="21.75" customHeight="1">
      <c r="A31" s="80" t="s">
        <v>98</v>
      </c>
      <c r="B31" s="81"/>
      <c r="C31" s="81"/>
      <c r="D31" s="81"/>
      <c r="E31" s="81"/>
      <c r="F31" s="134" t="s">
        <v>99</v>
      </c>
      <c r="G31" s="83"/>
      <c r="H31" s="83"/>
      <c r="I31" s="133"/>
      <c r="J31" s="132"/>
      <c r="K31" s="132"/>
    </row>
    <row r="32" spans="1:11" ht="21.75" customHeight="1">
      <c r="A32" s="80" t="s">
        <v>100</v>
      </c>
      <c r="B32" s="81"/>
      <c r="C32" s="81"/>
      <c r="D32" s="81"/>
      <c r="E32" s="81"/>
      <c r="F32" s="134" t="s">
        <v>101</v>
      </c>
      <c r="G32" s="83"/>
      <c r="H32" s="83"/>
      <c r="I32" s="133"/>
      <c r="J32" s="132"/>
      <c r="K32" s="132"/>
    </row>
    <row r="33" spans="1:11" ht="21.75" customHeight="1">
      <c r="A33" s="80" t="s">
        <v>102</v>
      </c>
      <c r="B33" s="81"/>
      <c r="C33" s="81"/>
      <c r="D33" s="81"/>
      <c r="E33" s="81"/>
      <c r="F33" s="134" t="s">
        <v>103</v>
      </c>
      <c r="G33" s="83"/>
      <c r="H33" s="83"/>
      <c r="I33" s="133"/>
      <c r="J33" s="132"/>
      <c r="K33" s="132"/>
    </row>
    <row r="34" spans="1:11" ht="21.75" customHeight="1">
      <c r="A34" s="80" t="s">
        <v>104</v>
      </c>
      <c r="B34" s="81"/>
      <c r="C34" s="81"/>
      <c r="D34" s="81"/>
      <c r="E34" s="81"/>
      <c r="F34" s="136"/>
      <c r="G34" s="83"/>
      <c r="H34" s="83"/>
      <c r="I34" s="133"/>
      <c r="J34" s="132"/>
      <c r="K34" s="132"/>
    </row>
    <row r="35" spans="1:11" ht="21.75" customHeight="1">
      <c r="A35" s="80" t="s">
        <v>105</v>
      </c>
      <c r="B35" s="81"/>
      <c r="C35" s="81"/>
      <c r="D35" s="81"/>
      <c r="E35" s="81"/>
      <c r="F35" s="134" t="s">
        <v>106</v>
      </c>
      <c r="G35" s="83"/>
      <c r="H35" s="83"/>
      <c r="I35" s="133"/>
      <c r="J35" s="132"/>
      <c r="K35" s="132"/>
    </row>
    <row r="36" spans="1:11" ht="21.75" customHeight="1">
      <c r="A36" s="80" t="s">
        <v>107</v>
      </c>
      <c r="B36" s="81"/>
      <c r="C36" s="81"/>
      <c r="D36" s="81"/>
      <c r="E36" s="81"/>
      <c r="F36" s="134" t="s">
        <v>108</v>
      </c>
      <c r="G36" s="83"/>
      <c r="H36" s="83"/>
      <c r="I36" s="133"/>
      <c r="J36" s="132"/>
      <c r="K36" s="132"/>
    </row>
    <row r="37" spans="1:11" ht="21.75" customHeight="1">
      <c r="A37" s="80" t="s">
        <v>109</v>
      </c>
      <c r="B37" s="81"/>
      <c r="C37" s="81"/>
      <c r="D37" s="81"/>
      <c r="E37" s="81"/>
      <c r="F37" s="134" t="s">
        <v>110</v>
      </c>
      <c r="G37" s="83">
        <v>1000</v>
      </c>
      <c r="H37" s="83"/>
      <c r="I37" s="133"/>
      <c r="J37" s="132"/>
      <c r="K37" s="132"/>
    </row>
    <row r="38" spans="1:11" ht="21.75" customHeight="1">
      <c r="A38" s="80" t="s">
        <v>111</v>
      </c>
      <c r="B38" s="81"/>
      <c r="C38" s="81"/>
      <c r="D38" s="81"/>
      <c r="E38" s="81"/>
      <c r="F38" s="134" t="s">
        <v>112</v>
      </c>
      <c r="G38" s="83"/>
      <c r="H38" s="83"/>
      <c r="I38" s="133"/>
      <c r="J38" s="132"/>
      <c r="K38" s="132"/>
    </row>
    <row r="39" spans="1:11" ht="21.75" customHeight="1">
      <c r="A39" s="80" t="s">
        <v>113</v>
      </c>
      <c r="B39" s="81"/>
      <c r="C39" s="81"/>
      <c r="D39" s="81"/>
      <c r="E39" s="81"/>
      <c r="F39" s="134" t="s">
        <v>114</v>
      </c>
      <c r="G39" s="83"/>
      <c r="H39" s="83"/>
      <c r="I39" s="133"/>
      <c r="J39" s="132"/>
      <c r="K39" s="132"/>
    </row>
    <row r="40" spans="1:11" ht="21.75" customHeight="1">
      <c r="A40" s="84" t="s">
        <v>115</v>
      </c>
      <c r="B40" s="85"/>
      <c r="C40" s="85"/>
      <c r="D40" s="85"/>
      <c r="E40" s="85"/>
      <c r="F40" s="109" t="s">
        <v>116</v>
      </c>
      <c r="G40" s="116">
        <v>20000</v>
      </c>
      <c r="H40" s="110"/>
      <c r="I40" s="133"/>
      <c r="J40" s="132"/>
      <c r="K40" s="132"/>
    </row>
    <row r="41" spans="1:11" ht="21.75" customHeight="1">
      <c r="A41" s="92"/>
      <c r="B41" s="92"/>
      <c r="C41" s="92"/>
      <c r="D41" s="92"/>
      <c r="E41" s="92"/>
      <c r="F41" s="145"/>
      <c r="G41" s="118"/>
      <c r="H41" s="118"/>
      <c r="I41" s="143"/>
      <c r="J41" s="132"/>
      <c r="K41" s="132"/>
    </row>
    <row r="42" spans="1:11" ht="21.75" customHeight="1">
      <c r="A42" s="91"/>
      <c r="B42" s="92"/>
      <c r="C42" s="92"/>
      <c r="D42" s="92"/>
      <c r="E42" s="92"/>
      <c r="F42" s="137" t="s">
        <v>27</v>
      </c>
      <c r="G42" s="137" t="s">
        <v>53</v>
      </c>
      <c r="H42" s="137" t="s">
        <v>54</v>
      </c>
      <c r="I42" s="105"/>
      <c r="J42" s="105"/>
      <c r="K42" s="105"/>
    </row>
    <row r="43" spans="1:11" ht="21.75" customHeight="1">
      <c r="A43" s="84"/>
      <c r="B43" s="85"/>
      <c r="C43" s="85"/>
      <c r="D43" s="85"/>
      <c r="E43" s="85"/>
      <c r="F43" s="138"/>
      <c r="G43" s="138"/>
      <c r="H43" s="138"/>
      <c r="I43" s="132"/>
      <c r="J43" s="132"/>
      <c r="K43" s="132"/>
    </row>
    <row r="44" spans="1:11" ht="21.75" customHeight="1">
      <c r="A44" s="91" t="s">
        <v>117</v>
      </c>
      <c r="B44" s="92"/>
      <c r="C44" s="92"/>
      <c r="D44" s="92"/>
      <c r="E44" s="93"/>
      <c r="F44" s="134" t="s">
        <v>118</v>
      </c>
      <c r="G44" s="83"/>
      <c r="H44" s="83"/>
      <c r="I44" s="133"/>
      <c r="J44" s="132"/>
      <c r="K44" s="132"/>
    </row>
    <row r="45" spans="1:11" ht="21.75" customHeight="1">
      <c r="A45" s="80" t="s">
        <v>119</v>
      </c>
      <c r="B45" s="81"/>
      <c r="C45" s="81"/>
      <c r="D45" s="81"/>
      <c r="E45" s="82"/>
      <c r="F45" s="134" t="s">
        <v>120</v>
      </c>
      <c r="G45" s="83"/>
      <c r="H45" s="83">
        <v>3000</v>
      </c>
      <c r="I45" s="133"/>
      <c r="J45" s="132"/>
      <c r="K45" s="132"/>
    </row>
    <row r="46" spans="1:11" ht="21.75" customHeight="1">
      <c r="A46" s="80" t="s">
        <v>121</v>
      </c>
      <c r="B46" s="81"/>
      <c r="C46" s="81"/>
      <c r="D46" s="81"/>
      <c r="E46" s="82"/>
      <c r="F46" s="134"/>
      <c r="G46" s="83"/>
      <c r="H46" s="83"/>
      <c r="I46" s="133"/>
      <c r="J46" s="132"/>
      <c r="K46" s="132"/>
    </row>
    <row r="47" spans="1:11" ht="21.75" customHeight="1">
      <c r="A47" s="80" t="s">
        <v>122</v>
      </c>
      <c r="B47" s="81"/>
      <c r="C47" s="81"/>
      <c r="D47" s="81"/>
      <c r="E47" s="82"/>
      <c r="F47" s="134" t="s">
        <v>123</v>
      </c>
      <c r="G47" s="83"/>
      <c r="H47" s="83"/>
      <c r="I47" s="133"/>
      <c r="J47" s="132"/>
      <c r="K47" s="132"/>
    </row>
    <row r="48" spans="1:11" ht="21.75" customHeight="1">
      <c r="A48" s="80" t="s">
        <v>124</v>
      </c>
      <c r="B48" s="81"/>
      <c r="C48" s="81"/>
      <c r="D48" s="81"/>
      <c r="E48" s="82"/>
      <c r="F48" s="134" t="s">
        <v>125</v>
      </c>
      <c r="G48" s="83"/>
      <c r="H48" s="83"/>
      <c r="I48" s="133"/>
      <c r="J48" s="132"/>
      <c r="K48" s="132"/>
    </row>
    <row r="49" spans="1:11" ht="21.75" customHeight="1">
      <c r="A49" s="80" t="s">
        <v>126</v>
      </c>
      <c r="B49" s="81"/>
      <c r="C49" s="81"/>
      <c r="D49" s="81"/>
      <c r="E49" s="82"/>
      <c r="F49" s="134"/>
      <c r="G49" s="83"/>
      <c r="H49" s="83"/>
      <c r="I49" s="133"/>
      <c r="J49" s="132"/>
      <c r="K49" s="132"/>
    </row>
    <row r="50" spans="1:11" ht="21.75" customHeight="1">
      <c r="A50" s="80" t="s">
        <v>127</v>
      </c>
      <c r="B50" s="81"/>
      <c r="C50" s="81"/>
      <c r="D50" s="81"/>
      <c r="E50" s="82"/>
      <c r="F50" s="134" t="s">
        <v>128</v>
      </c>
      <c r="G50" s="83"/>
      <c r="H50" s="83"/>
      <c r="I50" s="133"/>
      <c r="J50" s="132"/>
      <c r="K50" s="132"/>
    </row>
    <row r="51" spans="1:11" ht="21.75" customHeight="1">
      <c r="A51" s="80" t="s">
        <v>282</v>
      </c>
      <c r="B51" s="81"/>
      <c r="C51" s="81"/>
      <c r="D51" s="81"/>
      <c r="E51" s="82"/>
      <c r="F51" s="134" t="s">
        <v>129</v>
      </c>
      <c r="G51" s="83">
        <v>133</v>
      </c>
      <c r="H51" s="83">
        <f>20+20+60+20+160+20+20</f>
        <v>320</v>
      </c>
      <c r="I51" s="133"/>
      <c r="J51" s="132"/>
      <c r="K51" s="132"/>
    </row>
    <row r="52" spans="1:11" ht="21.75" customHeight="1">
      <c r="A52" s="80" t="s">
        <v>130</v>
      </c>
      <c r="B52" s="81"/>
      <c r="C52" s="81"/>
      <c r="D52" s="81"/>
      <c r="E52" s="82"/>
      <c r="F52" s="134" t="s">
        <v>131</v>
      </c>
      <c r="G52" s="83"/>
      <c r="H52" s="83"/>
      <c r="I52" s="133"/>
      <c r="J52" s="132"/>
      <c r="K52" s="132"/>
    </row>
    <row r="53" spans="1:11" ht="21.75" customHeight="1">
      <c r="A53" s="80" t="s">
        <v>283</v>
      </c>
      <c r="B53" s="81"/>
      <c r="C53" s="81"/>
      <c r="D53" s="81"/>
      <c r="E53" s="82"/>
      <c r="F53" s="134" t="s">
        <v>132</v>
      </c>
      <c r="G53" s="83">
        <v>13000</v>
      </c>
      <c r="H53" s="83">
        <f>2600+400+1600+2700+4900+1200+600</f>
        <v>14000</v>
      </c>
      <c r="I53" s="133"/>
      <c r="J53" s="132"/>
      <c r="K53" s="132"/>
    </row>
    <row r="54" spans="1:11" ht="21.75" customHeight="1">
      <c r="A54" s="80" t="s">
        <v>284</v>
      </c>
      <c r="B54" s="81"/>
      <c r="C54" s="81"/>
      <c r="D54" s="81"/>
      <c r="E54" s="82"/>
      <c r="F54" s="134" t="s">
        <v>285</v>
      </c>
      <c r="G54" s="83"/>
      <c r="H54" s="83"/>
      <c r="I54" s="133"/>
      <c r="J54" s="132"/>
      <c r="K54" s="132"/>
    </row>
    <row r="55" spans="1:11" ht="21.75" customHeight="1">
      <c r="A55" s="80"/>
      <c r="B55" s="81"/>
      <c r="C55" s="81"/>
      <c r="D55" s="81"/>
      <c r="E55" s="144" t="s">
        <v>9</v>
      </c>
      <c r="F55" s="132"/>
      <c r="G55" s="90">
        <f>SUM(G16:G40)+G44+G45+G46+G47+G48+G49+G50+G51+G52+G54+G53</f>
        <v>35193</v>
      </c>
      <c r="H55" s="90">
        <f>SUM(H16:H40)+H44+H45+H46+H47+H48+H49+H50+H51+H52+H54+H53</f>
        <v>18613</v>
      </c>
      <c r="I55" s="135"/>
      <c r="J55" s="114"/>
      <c r="K55" s="114"/>
    </row>
    <row r="56" spans="1:11" ht="21.75" customHeight="1">
      <c r="A56" s="112" t="s">
        <v>133</v>
      </c>
      <c r="B56" s="117"/>
      <c r="C56" s="117"/>
      <c r="D56" s="81"/>
      <c r="E56" s="82"/>
      <c r="F56" s="134" t="s">
        <v>134</v>
      </c>
      <c r="G56" s="83"/>
      <c r="H56" s="83"/>
      <c r="I56" s="133"/>
      <c r="J56" s="132"/>
      <c r="K56" s="132"/>
    </row>
    <row r="57" spans="1:11" ht="21.75" customHeight="1">
      <c r="A57" s="80" t="s">
        <v>135</v>
      </c>
      <c r="B57" s="81"/>
      <c r="C57" s="81"/>
      <c r="D57" s="81"/>
      <c r="E57" s="82"/>
      <c r="F57" s="134" t="s">
        <v>136</v>
      </c>
      <c r="G57" s="83"/>
      <c r="H57" s="83"/>
      <c r="I57" s="133"/>
      <c r="J57" s="132"/>
      <c r="K57" s="132"/>
    </row>
    <row r="58" spans="1:11" ht="21.75" customHeight="1">
      <c r="A58" s="80" t="s">
        <v>137</v>
      </c>
      <c r="B58" s="81"/>
      <c r="C58" s="81"/>
      <c r="D58" s="81"/>
      <c r="E58" s="82"/>
      <c r="F58" s="134" t="s">
        <v>138</v>
      </c>
      <c r="G58" s="83"/>
      <c r="H58" s="83"/>
      <c r="I58" s="133"/>
      <c r="J58" s="132"/>
      <c r="K58" s="132"/>
    </row>
    <row r="59" spans="1:11" ht="21.75" customHeight="1">
      <c r="A59" s="80" t="s">
        <v>139</v>
      </c>
      <c r="B59" s="81"/>
      <c r="C59" s="81"/>
      <c r="D59" s="81"/>
      <c r="E59" s="82"/>
      <c r="F59" s="134" t="s">
        <v>140</v>
      </c>
      <c r="G59" s="83">
        <v>80000</v>
      </c>
      <c r="H59" s="83">
        <f>30698+14092.3+4152.74+26915.91</f>
        <v>75858.95</v>
      </c>
      <c r="I59" s="133"/>
      <c r="J59" s="132"/>
      <c r="K59" s="132"/>
    </row>
    <row r="60" spans="1:11" ht="21.75" customHeight="1">
      <c r="A60" s="80" t="s">
        <v>141</v>
      </c>
      <c r="B60" s="81"/>
      <c r="C60" s="81"/>
      <c r="D60" s="81"/>
      <c r="E60" s="82"/>
      <c r="F60" s="134" t="s">
        <v>142</v>
      </c>
      <c r="G60" s="83"/>
      <c r="H60" s="83"/>
      <c r="I60" s="133"/>
      <c r="J60" s="132"/>
      <c r="K60" s="132"/>
    </row>
    <row r="61" spans="1:11" ht="21.75" customHeight="1">
      <c r="A61" s="80" t="s">
        <v>143</v>
      </c>
      <c r="B61" s="81"/>
      <c r="C61" s="81"/>
      <c r="D61" s="81"/>
      <c r="E61" s="82"/>
      <c r="F61" s="134" t="s">
        <v>144</v>
      </c>
      <c r="G61" s="83"/>
      <c r="H61" s="83"/>
      <c r="I61" s="133"/>
      <c r="J61" s="132"/>
      <c r="K61" s="132"/>
    </row>
    <row r="62" spans="1:11" ht="21.75" customHeight="1">
      <c r="A62" s="80"/>
      <c r="B62" s="81"/>
      <c r="C62" s="81"/>
      <c r="D62" s="81"/>
      <c r="E62" s="144" t="s">
        <v>9</v>
      </c>
      <c r="F62" s="132"/>
      <c r="G62" s="90">
        <f>SUM(G56:G61)</f>
        <v>80000</v>
      </c>
      <c r="H62" s="90">
        <f>SUM(H59:H61)</f>
        <v>75858.95</v>
      </c>
      <c r="I62" s="135"/>
      <c r="J62" s="114"/>
      <c r="K62" s="114"/>
    </row>
    <row r="63" spans="1:11" ht="21.75" customHeight="1">
      <c r="A63" s="112" t="s">
        <v>145</v>
      </c>
      <c r="B63" s="81"/>
      <c r="C63" s="81"/>
      <c r="D63" s="81"/>
      <c r="E63" s="82"/>
      <c r="F63" s="134" t="s">
        <v>146</v>
      </c>
      <c r="G63" s="83"/>
      <c r="H63" s="83"/>
      <c r="I63" s="133"/>
      <c r="J63" s="132"/>
      <c r="K63" s="132"/>
    </row>
    <row r="64" spans="1:11" ht="21.75" customHeight="1">
      <c r="A64" s="80" t="s">
        <v>147</v>
      </c>
      <c r="B64" s="81"/>
      <c r="C64" s="81"/>
      <c r="D64" s="81"/>
      <c r="E64" s="82"/>
      <c r="F64" s="134" t="s">
        <v>148</v>
      </c>
      <c r="G64" s="83"/>
      <c r="H64" s="83"/>
      <c r="I64" s="133"/>
      <c r="J64" s="132"/>
      <c r="K64" s="132"/>
    </row>
    <row r="65" spans="1:11" ht="21.75" customHeight="1">
      <c r="A65" s="80" t="s">
        <v>149</v>
      </c>
      <c r="B65" s="81"/>
      <c r="C65" s="81"/>
      <c r="D65" s="81"/>
      <c r="E65" s="82"/>
      <c r="F65" s="134" t="s">
        <v>150</v>
      </c>
      <c r="G65" s="83"/>
      <c r="H65" s="83"/>
      <c r="I65" s="133"/>
      <c r="J65" s="132"/>
      <c r="K65" s="132"/>
    </row>
    <row r="66" spans="1:11" ht="21.75" customHeight="1">
      <c r="A66" s="80" t="s">
        <v>151</v>
      </c>
      <c r="B66" s="81"/>
      <c r="C66" s="81"/>
      <c r="D66" s="81"/>
      <c r="E66" s="82"/>
      <c r="F66" s="134" t="s">
        <v>152</v>
      </c>
      <c r="G66" s="83"/>
      <c r="H66" s="83"/>
      <c r="I66" s="133"/>
      <c r="J66" s="132"/>
      <c r="K66" s="132"/>
    </row>
    <row r="67" spans="1:11" ht="21.75" customHeight="1">
      <c r="A67" s="80" t="s">
        <v>153</v>
      </c>
      <c r="B67" s="81"/>
      <c r="C67" s="81"/>
      <c r="D67" s="81"/>
      <c r="E67" s="82"/>
      <c r="F67" s="136"/>
      <c r="G67" s="83"/>
      <c r="H67" s="83"/>
      <c r="I67" s="132"/>
      <c r="J67" s="132"/>
      <c r="K67" s="132"/>
    </row>
    <row r="68" spans="1:11" ht="21.75" customHeight="1">
      <c r="A68" s="80"/>
      <c r="B68" s="81"/>
      <c r="C68" s="81"/>
      <c r="D68" s="81"/>
      <c r="E68" s="144" t="s">
        <v>9</v>
      </c>
      <c r="F68" s="132"/>
      <c r="G68" s="90">
        <f>SUM(G63:G66)</f>
        <v>0</v>
      </c>
      <c r="H68" s="90">
        <f>SUM(H63:H66)</f>
        <v>0</v>
      </c>
      <c r="I68" s="107"/>
      <c r="J68" s="139"/>
      <c r="K68" s="139"/>
    </row>
    <row r="69" spans="1:11" ht="21.75" customHeight="1">
      <c r="A69" s="112" t="s">
        <v>154</v>
      </c>
      <c r="B69" s="81"/>
      <c r="C69" s="81"/>
      <c r="D69" s="81"/>
      <c r="E69" s="82"/>
      <c r="F69" s="134" t="s">
        <v>155</v>
      </c>
      <c r="G69" s="83"/>
      <c r="H69" s="83"/>
      <c r="I69" s="133"/>
      <c r="J69" s="132"/>
      <c r="K69" s="132"/>
    </row>
    <row r="70" spans="1:11" ht="21.75" customHeight="1">
      <c r="A70" s="80" t="s">
        <v>156</v>
      </c>
      <c r="B70" s="81"/>
      <c r="C70" s="81"/>
      <c r="D70" s="81"/>
      <c r="E70" s="82"/>
      <c r="F70" s="134" t="s">
        <v>157</v>
      </c>
      <c r="G70" s="83"/>
      <c r="H70" s="83"/>
      <c r="I70" s="133"/>
      <c r="J70" s="132"/>
      <c r="K70" s="132"/>
    </row>
    <row r="71" spans="1:11" ht="21.75" customHeight="1">
      <c r="A71" s="80" t="s">
        <v>158</v>
      </c>
      <c r="B71" s="81"/>
      <c r="C71" s="81"/>
      <c r="D71" s="81"/>
      <c r="E71" s="82"/>
      <c r="F71" s="134" t="s">
        <v>159</v>
      </c>
      <c r="G71" s="83">
        <v>50000</v>
      </c>
      <c r="H71" s="83">
        <f>22000+30000+17900</f>
        <v>69900</v>
      </c>
      <c r="I71" s="133"/>
      <c r="J71" s="132"/>
      <c r="K71" s="132"/>
    </row>
    <row r="72" spans="1:11" ht="21.75" customHeight="1">
      <c r="A72" s="80" t="s">
        <v>286</v>
      </c>
      <c r="B72" s="81"/>
      <c r="C72" s="81"/>
      <c r="D72" s="81"/>
      <c r="E72" s="82"/>
      <c r="F72" s="134" t="s">
        <v>160</v>
      </c>
      <c r="G72" s="83">
        <v>1200</v>
      </c>
      <c r="H72" s="83">
        <v>800</v>
      </c>
      <c r="I72" s="133"/>
      <c r="J72" s="132"/>
      <c r="K72" s="132"/>
    </row>
    <row r="73" spans="1:11" ht="21.75" customHeight="1">
      <c r="A73" s="80" t="s">
        <v>161</v>
      </c>
      <c r="B73" s="81"/>
      <c r="C73" s="81"/>
      <c r="D73" s="81"/>
      <c r="E73" s="82"/>
      <c r="F73" s="134" t="s">
        <v>162</v>
      </c>
      <c r="G73" s="83"/>
      <c r="H73" s="83"/>
      <c r="I73" s="133"/>
      <c r="J73" s="132"/>
      <c r="K73" s="132"/>
    </row>
    <row r="74" spans="1:11" ht="21.75" customHeight="1">
      <c r="A74" s="80" t="s">
        <v>163</v>
      </c>
      <c r="B74" s="81"/>
      <c r="C74" s="81"/>
      <c r="D74" s="81"/>
      <c r="E74" s="82"/>
      <c r="F74" s="134" t="s">
        <v>164</v>
      </c>
      <c r="G74" s="83">
        <v>1000</v>
      </c>
      <c r="H74" s="83"/>
      <c r="I74" s="133"/>
      <c r="J74" s="132"/>
      <c r="K74" s="132"/>
    </row>
    <row r="75" spans="1:11" ht="21.75" customHeight="1">
      <c r="A75" s="80" t="s">
        <v>165</v>
      </c>
      <c r="B75" s="81"/>
      <c r="C75" s="81"/>
      <c r="D75" s="81"/>
      <c r="E75" s="82"/>
      <c r="F75" s="134" t="s">
        <v>166</v>
      </c>
      <c r="G75" s="83"/>
      <c r="H75" s="83"/>
      <c r="I75" s="133"/>
      <c r="J75" s="132"/>
      <c r="K75" s="132"/>
    </row>
    <row r="76" spans="1:11" ht="21.75" customHeight="1">
      <c r="A76" s="80" t="s">
        <v>167</v>
      </c>
      <c r="B76" s="81"/>
      <c r="C76" s="81"/>
      <c r="D76" s="81"/>
      <c r="E76" s="82"/>
      <c r="F76" s="134" t="s">
        <v>168</v>
      </c>
      <c r="G76" s="83">
        <v>1000</v>
      </c>
      <c r="H76" s="83">
        <f>100+900+20+610+10+810+318600+1260+270+400</f>
        <v>322980</v>
      </c>
      <c r="I76" s="134" t="s">
        <v>169</v>
      </c>
      <c r="J76" s="132"/>
      <c r="K76" s="132"/>
    </row>
    <row r="77" spans="1:11" ht="21.75" customHeight="1">
      <c r="A77" s="80"/>
      <c r="B77" s="81"/>
      <c r="C77" s="81"/>
      <c r="D77" s="81"/>
      <c r="E77" s="144" t="s">
        <v>9</v>
      </c>
      <c r="F77" s="132"/>
      <c r="G77" s="90">
        <f>SUM(G69:G76)</f>
        <v>53200</v>
      </c>
      <c r="H77" s="90">
        <f>SUM(H69:H76)</f>
        <v>393680</v>
      </c>
      <c r="I77" s="107"/>
      <c r="J77" s="139"/>
      <c r="K77" s="139"/>
    </row>
    <row r="78" spans="1:11" ht="21.75" customHeight="1">
      <c r="A78" s="112" t="s">
        <v>170</v>
      </c>
      <c r="B78" s="81"/>
      <c r="C78" s="81"/>
      <c r="D78" s="81"/>
      <c r="E78" s="82"/>
      <c r="F78" s="134" t="s">
        <v>171</v>
      </c>
      <c r="G78" s="83"/>
      <c r="H78" s="83"/>
      <c r="I78" s="106"/>
      <c r="J78" s="140"/>
      <c r="K78" s="140"/>
    </row>
    <row r="79" spans="1:11" ht="21.75" customHeight="1">
      <c r="A79" s="80" t="s">
        <v>172</v>
      </c>
      <c r="B79" s="81"/>
      <c r="C79" s="81"/>
      <c r="D79" s="81"/>
      <c r="E79" s="82"/>
      <c r="F79" s="134" t="s">
        <v>173</v>
      </c>
      <c r="G79" s="83"/>
      <c r="H79" s="83"/>
      <c r="I79" s="106"/>
      <c r="J79" s="140"/>
      <c r="K79" s="140"/>
    </row>
    <row r="80" spans="1:11" ht="21.75" customHeight="1">
      <c r="A80" s="84"/>
      <c r="B80" s="85"/>
      <c r="C80" s="85"/>
      <c r="D80" s="85"/>
      <c r="E80" s="87" t="s">
        <v>9</v>
      </c>
      <c r="F80" s="138"/>
      <c r="G80" s="90">
        <f>SUM(G78:G79)</f>
        <v>0</v>
      </c>
      <c r="H80" s="90">
        <f>SUM(H78:H79)</f>
        <v>0</v>
      </c>
      <c r="I80" s="107"/>
      <c r="J80" s="139"/>
      <c r="K80" s="139"/>
    </row>
    <row r="81" spans="1:11" ht="21.75" customHeight="1">
      <c r="A81" s="81"/>
      <c r="B81" s="81"/>
      <c r="C81" s="81"/>
      <c r="D81" s="81"/>
      <c r="E81" s="117"/>
      <c r="F81" s="81"/>
      <c r="G81" s="108"/>
      <c r="H81" s="108"/>
      <c r="I81" s="141"/>
      <c r="J81" s="140"/>
      <c r="K81" s="140"/>
    </row>
    <row r="82" spans="1:11" ht="21.75" customHeight="1">
      <c r="A82" s="81"/>
      <c r="B82" s="81"/>
      <c r="C82" s="81"/>
      <c r="D82" s="81"/>
      <c r="E82" s="117"/>
      <c r="F82" s="81"/>
      <c r="G82" s="108"/>
      <c r="H82" s="108"/>
      <c r="I82" s="141"/>
      <c r="J82" s="140"/>
      <c r="K82" s="140"/>
    </row>
    <row r="83" spans="1:11" ht="21.75" customHeight="1">
      <c r="A83" s="91"/>
      <c r="B83" s="92"/>
      <c r="C83" s="92"/>
      <c r="D83" s="92"/>
      <c r="E83" s="92"/>
      <c r="F83" s="137" t="s">
        <v>27</v>
      </c>
      <c r="G83" s="137" t="s">
        <v>53</v>
      </c>
      <c r="H83" s="137" t="s">
        <v>54</v>
      </c>
      <c r="I83" s="105"/>
      <c r="J83" s="105"/>
      <c r="K83" s="105"/>
    </row>
    <row r="84" spans="1:11" ht="21.75" customHeight="1">
      <c r="A84" s="84"/>
      <c r="B84" s="85"/>
      <c r="C84" s="85"/>
      <c r="D84" s="85"/>
      <c r="E84" s="85"/>
      <c r="F84" s="138"/>
      <c r="G84" s="138"/>
      <c r="H84" s="138"/>
      <c r="I84" s="132"/>
      <c r="J84" s="132"/>
      <c r="K84" s="132"/>
    </row>
    <row r="85" spans="1:11" ht="21.75" customHeight="1">
      <c r="A85" s="112" t="s">
        <v>174</v>
      </c>
      <c r="B85" s="81"/>
      <c r="C85" s="81"/>
      <c r="D85" s="81"/>
      <c r="E85" s="81"/>
      <c r="F85" s="136"/>
      <c r="G85" s="83"/>
      <c r="H85" s="83"/>
      <c r="I85" s="132"/>
      <c r="J85" s="132"/>
      <c r="K85" s="132"/>
    </row>
    <row r="86" spans="1:11" ht="21.75" customHeight="1">
      <c r="A86" s="112" t="s">
        <v>175</v>
      </c>
      <c r="B86" s="81"/>
      <c r="C86" s="81"/>
      <c r="D86" s="81"/>
      <c r="E86" s="81"/>
      <c r="F86" s="136">
        <v>1000</v>
      </c>
      <c r="G86" s="83"/>
      <c r="H86" s="83"/>
      <c r="I86" s="106"/>
      <c r="J86" s="140"/>
      <c r="K86" s="140"/>
    </row>
    <row r="87" spans="1:11" ht="21.75" customHeight="1">
      <c r="A87" s="80" t="s">
        <v>176</v>
      </c>
      <c r="B87" s="81"/>
      <c r="C87" s="81"/>
      <c r="D87" s="81"/>
      <c r="E87" s="81"/>
      <c r="F87" s="136">
        <v>1001</v>
      </c>
      <c r="G87" s="83"/>
      <c r="H87" s="83"/>
      <c r="I87" s="106"/>
      <c r="J87" s="140"/>
      <c r="K87" s="140"/>
    </row>
    <row r="88" spans="1:11" ht="21.75" customHeight="1">
      <c r="A88" s="80" t="s">
        <v>177</v>
      </c>
      <c r="B88" s="81"/>
      <c r="C88" s="81"/>
      <c r="D88" s="81"/>
      <c r="E88" s="81"/>
      <c r="F88" s="136">
        <v>1002</v>
      </c>
      <c r="G88" s="83">
        <v>5000000</v>
      </c>
      <c r="H88" s="83">
        <f>96826.31+83900.58+846298.02+107258.32+880635.11+108563.31+920788.7+560597.46+108849.68+1076712.15</f>
        <v>4790429.64</v>
      </c>
      <c r="I88" s="106"/>
      <c r="J88" s="140"/>
      <c r="K88" s="140"/>
    </row>
    <row r="89" spans="1:11" ht="21.75" customHeight="1">
      <c r="A89" s="80" t="s">
        <v>178</v>
      </c>
      <c r="B89" s="81"/>
      <c r="C89" s="81"/>
      <c r="D89" s="81"/>
      <c r="E89" s="81"/>
      <c r="F89" s="136">
        <v>1003</v>
      </c>
      <c r="G89" s="83"/>
      <c r="H89" s="83"/>
      <c r="I89" s="106"/>
      <c r="J89" s="140"/>
      <c r="K89" s="140"/>
    </row>
    <row r="90" spans="1:11" ht="21.75" customHeight="1">
      <c r="A90" s="80" t="s">
        <v>179</v>
      </c>
      <c r="B90" s="81"/>
      <c r="C90" s="81"/>
      <c r="D90" s="81"/>
      <c r="E90" s="81"/>
      <c r="F90" s="136"/>
      <c r="G90" s="83"/>
      <c r="H90" s="83"/>
      <c r="I90" s="106"/>
      <c r="J90" s="140"/>
      <c r="K90" s="140"/>
    </row>
    <row r="91" spans="1:11" ht="21.75" customHeight="1">
      <c r="A91" s="80" t="s">
        <v>180</v>
      </c>
      <c r="B91" s="81"/>
      <c r="C91" s="81"/>
      <c r="D91" s="81"/>
      <c r="E91" s="81"/>
      <c r="F91" s="136">
        <v>1004</v>
      </c>
      <c r="G91" s="83">
        <v>20000</v>
      </c>
      <c r="H91" s="83">
        <f>7905.47+4305.7+6433.28</f>
        <v>18644.45</v>
      </c>
      <c r="I91" s="106"/>
      <c r="J91" s="140"/>
      <c r="K91" s="140"/>
    </row>
    <row r="92" spans="1:11" ht="21.75" customHeight="1">
      <c r="A92" s="80" t="s">
        <v>181</v>
      </c>
      <c r="B92" s="81"/>
      <c r="C92" s="81"/>
      <c r="D92" s="81"/>
      <c r="E92" s="81"/>
      <c r="F92" s="136">
        <v>1005</v>
      </c>
      <c r="G92" s="83">
        <v>500000</v>
      </c>
      <c r="H92" s="83">
        <f>46348.76+6003.37+92704.87+64779.47+54589.11+56527.45+66874.54+52740.96+51111.25</f>
        <v>491679.78</v>
      </c>
      <c r="I92" s="106"/>
      <c r="J92" s="140"/>
      <c r="K92" s="140"/>
    </row>
    <row r="93" spans="1:11" ht="21.75" customHeight="1">
      <c r="A93" s="80" t="s">
        <v>182</v>
      </c>
      <c r="B93" s="81"/>
      <c r="C93" s="81"/>
      <c r="D93" s="81"/>
      <c r="E93" s="81"/>
      <c r="F93" s="136">
        <v>1006</v>
      </c>
      <c r="G93" s="83">
        <v>1279720</v>
      </c>
      <c r="H93" s="83">
        <f>137544.86+22417.31+240310.8+146754.39+152523.5+142222.86+148223.48+148013.98+97585</f>
        <v>1235596.18</v>
      </c>
      <c r="I93" s="106"/>
      <c r="J93" s="140"/>
      <c r="K93" s="140"/>
    </row>
    <row r="94" spans="1:11" ht="21.75" customHeight="1">
      <c r="A94" s="80" t="s">
        <v>183</v>
      </c>
      <c r="B94" s="81"/>
      <c r="C94" s="81"/>
      <c r="D94" s="81"/>
      <c r="E94" s="81"/>
      <c r="F94" s="136">
        <v>1007</v>
      </c>
      <c r="G94" s="83"/>
      <c r="H94" s="83"/>
      <c r="I94" s="106"/>
      <c r="J94" s="140"/>
      <c r="K94" s="140"/>
    </row>
    <row r="95" spans="1:11" ht="21.75" customHeight="1">
      <c r="A95" s="80" t="s">
        <v>184</v>
      </c>
      <c r="B95" s="81"/>
      <c r="C95" s="81"/>
      <c r="D95" s="81"/>
      <c r="E95" s="81"/>
      <c r="F95" s="136">
        <v>1008</v>
      </c>
      <c r="G95" s="83"/>
      <c r="H95" s="83"/>
      <c r="I95" s="106"/>
      <c r="J95" s="140"/>
      <c r="K95" s="140"/>
    </row>
    <row r="96" spans="1:11" ht="21.75" customHeight="1">
      <c r="A96" s="80" t="s">
        <v>185</v>
      </c>
      <c r="B96" s="81"/>
      <c r="C96" s="81"/>
      <c r="D96" s="81"/>
      <c r="E96" s="81"/>
      <c r="F96" s="136">
        <v>1009</v>
      </c>
      <c r="G96" s="83"/>
      <c r="H96" s="83"/>
      <c r="I96" s="106"/>
      <c r="J96" s="140"/>
      <c r="K96" s="140"/>
    </row>
    <row r="97" spans="1:11" ht="21.75" customHeight="1">
      <c r="A97" s="80" t="s">
        <v>186</v>
      </c>
      <c r="B97" s="81"/>
      <c r="C97" s="81"/>
      <c r="D97" s="81"/>
      <c r="E97" s="81"/>
      <c r="F97" s="136">
        <v>1010</v>
      </c>
      <c r="G97" s="83">
        <v>20000</v>
      </c>
      <c r="H97" s="83">
        <f>21177.12+7752.05</f>
        <v>28929.17</v>
      </c>
      <c r="I97" s="106"/>
      <c r="J97" s="140"/>
      <c r="K97" s="140"/>
    </row>
    <row r="98" spans="1:11" ht="21.75" customHeight="1">
      <c r="A98" s="80" t="s">
        <v>187</v>
      </c>
      <c r="B98" s="81"/>
      <c r="C98" s="81"/>
      <c r="D98" s="81"/>
      <c r="E98" s="81"/>
      <c r="F98" s="136">
        <v>1011</v>
      </c>
      <c r="G98" s="83">
        <v>25000</v>
      </c>
      <c r="H98" s="83">
        <f>8865.5+8011.57+8230.17</f>
        <v>25107.239999999998</v>
      </c>
      <c r="I98" s="106"/>
      <c r="J98" s="140"/>
      <c r="K98" s="140"/>
    </row>
    <row r="99" spans="1:11" ht="21.75" customHeight="1">
      <c r="A99" s="80" t="s">
        <v>188</v>
      </c>
      <c r="B99" s="81"/>
      <c r="C99" s="81"/>
      <c r="D99" s="81"/>
      <c r="E99" s="81"/>
      <c r="F99" s="136">
        <v>1012</v>
      </c>
      <c r="G99" s="83"/>
      <c r="H99" s="83"/>
      <c r="I99" s="106"/>
      <c r="J99" s="140"/>
      <c r="K99" s="140"/>
    </row>
    <row r="100" spans="1:11" ht="21.75" customHeight="1">
      <c r="A100" s="80" t="s">
        <v>189</v>
      </c>
      <c r="B100" s="81"/>
      <c r="C100" s="81"/>
      <c r="D100" s="81"/>
      <c r="E100" s="81"/>
      <c r="F100" s="136">
        <v>1013</v>
      </c>
      <c r="G100" s="83">
        <v>190000</v>
      </c>
      <c r="H100" s="83">
        <f>11977+19964+8130+10102+90619+20363+13622+17956</f>
        <v>192733</v>
      </c>
      <c r="I100" s="106"/>
      <c r="J100" s="140"/>
      <c r="K100" s="140"/>
    </row>
    <row r="101" spans="1:11" ht="21.75" customHeight="1">
      <c r="A101" s="80" t="s">
        <v>190</v>
      </c>
      <c r="B101" s="81"/>
      <c r="C101" s="81"/>
      <c r="D101" s="81"/>
      <c r="E101" s="81"/>
      <c r="F101" s="136">
        <v>1014</v>
      </c>
      <c r="G101" s="83"/>
      <c r="H101" s="83"/>
      <c r="I101" s="106"/>
      <c r="J101" s="140"/>
      <c r="K101" s="140"/>
    </row>
    <row r="102" spans="1:11" ht="21.75" customHeight="1">
      <c r="A102" s="80" t="s">
        <v>191</v>
      </c>
      <c r="B102" s="81"/>
      <c r="C102" s="81"/>
      <c r="D102" s="81"/>
      <c r="E102" s="81"/>
      <c r="F102" s="136">
        <v>1015</v>
      </c>
      <c r="G102" s="83"/>
      <c r="H102" s="83"/>
      <c r="I102" s="106"/>
      <c r="J102" s="140"/>
      <c r="K102" s="140"/>
    </row>
    <row r="103" spans="1:11" ht="21.75" customHeight="1">
      <c r="A103" s="80" t="s">
        <v>192</v>
      </c>
      <c r="B103" s="81"/>
      <c r="C103" s="81"/>
      <c r="D103" s="81"/>
      <c r="E103" s="81"/>
      <c r="F103" s="136">
        <v>1016</v>
      </c>
      <c r="G103" s="83"/>
      <c r="H103" s="83">
        <v>1030</v>
      </c>
      <c r="I103" s="106"/>
      <c r="J103" s="140"/>
      <c r="K103" s="140"/>
    </row>
    <row r="104" spans="1:11" ht="21.75" customHeight="1">
      <c r="A104" s="80" t="s">
        <v>193</v>
      </c>
      <c r="B104" s="81"/>
      <c r="C104" s="81"/>
      <c r="D104" s="81"/>
      <c r="E104" s="81"/>
      <c r="F104" s="136">
        <v>1017</v>
      </c>
      <c r="G104" s="83"/>
      <c r="H104" s="83"/>
      <c r="I104" s="106"/>
      <c r="J104" s="140"/>
      <c r="K104" s="140"/>
    </row>
    <row r="105" spans="1:11" ht="21.75" customHeight="1">
      <c r="A105" s="80"/>
      <c r="B105" s="81"/>
      <c r="C105" s="81"/>
      <c r="D105" s="81"/>
      <c r="E105" s="117" t="s">
        <v>9</v>
      </c>
      <c r="F105" s="132"/>
      <c r="G105" s="90">
        <f>SUM(G86:G104)</f>
        <v>7034720</v>
      </c>
      <c r="H105" s="90">
        <f>SUM(H86:H104)</f>
        <v>6784149.46</v>
      </c>
      <c r="I105" s="107"/>
      <c r="J105" s="139"/>
      <c r="K105" s="139"/>
    </row>
    <row r="106" spans="1:11" ht="21.75" customHeight="1">
      <c r="A106" s="112" t="s">
        <v>194</v>
      </c>
      <c r="B106" s="81"/>
      <c r="C106" s="81"/>
      <c r="D106" s="81"/>
      <c r="E106" s="81"/>
      <c r="F106" s="132"/>
      <c r="G106" s="83"/>
      <c r="H106" s="83"/>
      <c r="I106" s="106"/>
      <c r="J106" s="140"/>
      <c r="K106" s="140"/>
    </row>
    <row r="107" spans="1:11" ht="21.75" customHeight="1">
      <c r="A107" s="112" t="s">
        <v>195</v>
      </c>
      <c r="B107" s="81"/>
      <c r="C107" s="81"/>
      <c r="D107" s="81"/>
      <c r="E107" s="81"/>
      <c r="F107" s="136">
        <v>2000</v>
      </c>
      <c r="G107" s="83"/>
      <c r="H107" s="83"/>
      <c r="I107" s="106"/>
      <c r="J107" s="140"/>
      <c r="K107" s="140"/>
    </row>
    <row r="108" spans="1:11" ht="21.75" customHeight="1">
      <c r="A108" s="80" t="s">
        <v>196</v>
      </c>
      <c r="B108" s="81"/>
      <c r="C108" s="81"/>
      <c r="D108" s="81"/>
      <c r="E108" s="81"/>
      <c r="F108" s="136"/>
      <c r="G108" s="83"/>
      <c r="H108" s="83"/>
      <c r="I108" s="106"/>
      <c r="J108" s="140"/>
      <c r="K108" s="140"/>
    </row>
    <row r="109" spans="1:11" ht="21.75" customHeight="1">
      <c r="A109" s="80" t="s">
        <v>197</v>
      </c>
      <c r="B109" s="81"/>
      <c r="C109" s="81"/>
      <c r="D109" s="81"/>
      <c r="E109" s="81"/>
      <c r="F109" s="136">
        <v>2001</v>
      </c>
      <c r="G109" s="83"/>
      <c r="H109" s="83"/>
      <c r="I109" s="106"/>
      <c r="J109" s="140"/>
      <c r="K109" s="140"/>
    </row>
    <row r="110" spans="1:11" ht="21.75" customHeight="1">
      <c r="A110" s="80" t="s">
        <v>198</v>
      </c>
      <c r="B110" s="81"/>
      <c r="C110" s="81"/>
      <c r="D110" s="81"/>
      <c r="E110" s="81"/>
      <c r="F110" s="136">
        <v>2002</v>
      </c>
      <c r="G110" s="83">
        <v>8287482</v>
      </c>
      <c r="H110" s="83">
        <v>5404004</v>
      </c>
      <c r="I110" s="106"/>
      <c r="J110" s="140"/>
      <c r="K110" s="140"/>
    </row>
    <row r="111" spans="1:11" ht="21.75" customHeight="1">
      <c r="A111" s="80" t="s">
        <v>199</v>
      </c>
      <c r="B111" s="81"/>
      <c r="C111" s="81"/>
      <c r="D111" s="81"/>
      <c r="E111" s="81"/>
      <c r="F111" s="136">
        <v>2003</v>
      </c>
      <c r="G111" s="83"/>
      <c r="H111" s="83"/>
      <c r="I111" s="106"/>
      <c r="J111" s="140"/>
      <c r="K111" s="140"/>
    </row>
    <row r="112" spans="1:11" ht="21.75" customHeight="1">
      <c r="A112" s="80" t="s">
        <v>200</v>
      </c>
      <c r="B112" s="81"/>
      <c r="C112" s="81"/>
      <c r="D112" s="81"/>
      <c r="E112" s="81"/>
      <c r="F112" s="136">
        <v>2004</v>
      </c>
      <c r="G112" s="83"/>
      <c r="H112" s="83">
        <f>70000+420000+780000+852000+268500+536000+117000</f>
        <v>3043500</v>
      </c>
      <c r="I112" s="106"/>
      <c r="J112" s="140"/>
      <c r="K112" s="140"/>
    </row>
    <row r="113" spans="1:11" ht="21.75" customHeight="1">
      <c r="A113" s="80"/>
      <c r="B113" s="81"/>
      <c r="C113" s="81"/>
      <c r="D113" s="81"/>
      <c r="E113" s="117" t="s">
        <v>9</v>
      </c>
      <c r="F113" s="132"/>
      <c r="G113" s="90">
        <f>SUM(G107:G112)</f>
        <v>8287482</v>
      </c>
      <c r="H113" s="90">
        <f>SUM(H107:H112)</f>
        <v>8447504</v>
      </c>
      <c r="I113" s="107"/>
      <c r="J113" s="139"/>
      <c r="K113" s="139"/>
    </row>
    <row r="114" spans="1:11" ht="21.75" customHeight="1">
      <c r="A114" s="112" t="s">
        <v>201</v>
      </c>
      <c r="B114" s="81"/>
      <c r="C114" s="81"/>
      <c r="D114" s="81"/>
      <c r="E114" s="81"/>
      <c r="F114" s="132"/>
      <c r="G114" s="83"/>
      <c r="H114" s="83"/>
      <c r="I114" s="106"/>
      <c r="J114" s="140"/>
      <c r="K114" s="140"/>
    </row>
    <row r="115" spans="1:11" ht="21.75" customHeight="1">
      <c r="A115" s="112" t="s">
        <v>202</v>
      </c>
      <c r="B115" s="81"/>
      <c r="C115" s="81"/>
      <c r="D115" s="81"/>
      <c r="E115" s="81"/>
      <c r="F115" s="136">
        <v>3000</v>
      </c>
      <c r="G115" s="83"/>
      <c r="H115" s="83"/>
      <c r="I115" s="106"/>
      <c r="J115" s="140"/>
      <c r="K115" s="140"/>
    </row>
    <row r="116" spans="1:11" ht="21.75" customHeight="1">
      <c r="A116" s="80" t="s">
        <v>203</v>
      </c>
      <c r="B116" s="81"/>
      <c r="C116" s="81"/>
      <c r="D116" s="81"/>
      <c r="E116" s="81"/>
      <c r="F116" s="136">
        <v>3001</v>
      </c>
      <c r="G116" s="83"/>
      <c r="H116" s="83">
        <f>62076+15519+15519+58275</f>
        <v>151389</v>
      </c>
      <c r="I116" s="106"/>
      <c r="J116" s="140"/>
      <c r="K116" s="140"/>
    </row>
    <row r="117" spans="1:11" ht="21.75" customHeight="1">
      <c r="A117" s="80" t="s">
        <v>204</v>
      </c>
      <c r="B117" s="81"/>
      <c r="C117" s="81"/>
      <c r="D117" s="81"/>
      <c r="E117" s="81"/>
      <c r="F117" s="136">
        <v>3002</v>
      </c>
      <c r="G117" s="83"/>
      <c r="H117" s="83"/>
      <c r="I117" s="106"/>
      <c r="J117" s="140"/>
      <c r="K117" s="140"/>
    </row>
    <row r="118" spans="1:11" ht="21.75" customHeight="1">
      <c r="A118" s="80"/>
      <c r="B118" s="81"/>
      <c r="C118" s="81"/>
      <c r="D118" s="81"/>
      <c r="E118" s="117" t="s">
        <v>9</v>
      </c>
      <c r="F118" s="132"/>
      <c r="G118" s="90">
        <f>SUM(G115:G117)</f>
        <v>0</v>
      </c>
      <c r="H118" s="90">
        <f>SUM(H115:H117)</f>
        <v>151389</v>
      </c>
      <c r="I118" s="107"/>
      <c r="J118" s="139"/>
      <c r="K118" s="139"/>
    </row>
    <row r="119" spans="1:11" ht="21.75" customHeight="1">
      <c r="A119" s="80" t="s">
        <v>205</v>
      </c>
      <c r="B119" s="81"/>
      <c r="C119" s="81"/>
      <c r="D119" s="81"/>
      <c r="E119" s="81"/>
      <c r="F119" s="136">
        <v>4001</v>
      </c>
      <c r="G119" s="83"/>
      <c r="H119" s="83"/>
      <c r="I119" s="106"/>
      <c r="J119" s="140"/>
      <c r="K119" s="140"/>
    </row>
    <row r="120" spans="1:11" ht="21.75" customHeight="1">
      <c r="A120" s="80" t="s">
        <v>206</v>
      </c>
      <c r="B120" s="81"/>
      <c r="C120" s="81"/>
      <c r="D120" s="81"/>
      <c r="E120" s="81"/>
      <c r="F120" s="136"/>
      <c r="G120" s="83"/>
      <c r="H120" s="83"/>
      <c r="I120" s="106"/>
      <c r="J120" s="140"/>
      <c r="K120" s="140"/>
    </row>
    <row r="121" spans="1:11" ht="21.75" customHeight="1">
      <c r="A121" s="80"/>
      <c r="B121" s="81"/>
      <c r="C121" s="81"/>
      <c r="D121" s="81"/>
      <c r="E121" s="81"/>
      <c r="F121" s="136"/>
      <c r="G121" s="83"/>
      <c r="H121" s="83"/>
      <c r="I121" s="106"/>
      <c r="J121" s="140"/>
      <c r="K121" s="140"/>
    </row>
    <row r="122" spans="1:11" ht="21.75" customHeight="1">
      <c r="A122" s="84"/>
      <c r="B122" s="85"/>
      <c r="C122" s="85"/>
      <c r="D122" s="85"/>
      <c r="E122" s="86" t="s">
        <v>207</v>
      </c>
      <c r="F122" s="138"/>
      <c r="G122" s="103">
        <f>G55+G62+G68+G77+G80+G105+G113+G118+G14+G119+G120</f>
        <v>15548715</v>
      </c>
      <c r="H122" s="103">
        <f>H55+H62+H68+H77+H80+H105+H113+H118+H14+H119</f>
        <v>15930941.25</v>
      </c>
      <c r="I122" s="107"/>
      <c r="J122" s="139"/>
      <c r="K122" s="139"/>
    </row>
    <row r="123" ht="21.75" customHeight="1">
      <c r="H123" s="95"/>
    </row>
    <row r="124" ht="21.75" customHeight="1">
      <c r="G124" s="95"/>
    </row>
    <row r="125" ht="21.75" customHeight="1">
      <c r="G125" s="95"/>
    </row>
  </sheetData>
  <sheetProtection/>
  <mergeCells count="6">
    <mergeCell ref="A1:K1"/>
    <mergeCell ref="A2:K2"/>
    <mergeCell ref="A3:K3"/>
    <mergeCell ref="F4:F5"/>
    <mergeCell ref="G4:G5"/>
    <mergeCell ref="H4:H5"/>
  </mergeCells>
  <printOptions/>
  <pageMargins left="0.6692913385826772" right="0.3937007874015748" top="0.2362204724409449" bottom="0.2362204724409449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  SODA</dc:creator>
  <cp:keywords/>
  <dc:description/>
  <cp:lastModifiedBy>ITD</cp:lastModifiedBy>
  <cp:lastPrinted>2011-07-17T14:40:05Z</cp:lastPrinted>
  <dcterms:created xsi:type="dcterms:W3CDTF">2005-08-29T08:20:36Z</dcterms:created>
  <dcterms:modified xsi:type="dcterms:W3CDTF">2011-07-17T14:40:26Z</dcterms:modified>
  <cp:category/>
  <cp:version/>
  <cp:contentType/>
  <cp:contentStatus/>
</cp:coreProperties>
</file>